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935" windowHeight="940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Sheet1!$A$1:$Q$394</definedName>
  </definedNames>
  <calcPr calcId="124519"/>
</workbook>
</file>

<file path=xl/calcChain.xml><?xml version="1.0" encoding="utf-8"?>
<calcChain xmlns="http://schemas.openxmlformats.org/spreadsheetml/2006/main">
  <c r="H357" i="1"/>
  <c r="D359"/>
  <c r="D363" s="1"/>
  <c r="D365" s="1"/>
  <c r="D369" s="1"/>
  <c r="D371" s="1"/>
  <c r="D373" s="1"/>
  <c r="D383" s="1"/>
  <c r="D385" s="1"/>
  <c r="E359"/>
  <c r="E363" s="1"/>
  <c r="D321"/>
  <c r="H307"/>
  <c r="E321"/>
  <c r="H317"/>
  <c r="H315"/>
  <c r="H313"/>
  <c r="H311"/>
  <c r="H309"/>
  <c r="M249"/>
  <c r="M248"/>
  <c r="M247"/>
  <c r="M251"/>
  <c r="I247"/>
  <c r="I251"/>
  <c r="G247"/>
  <c r="O248" s="1"/>
  <c r="P248" s="1"/>
  <c r="G251"/>
  <c r="O251" s="1"/>
  <c r="P251" s="1"/>
  <c r="O37"/>
  <c r="P37" s="1"/>
  <c r="M37"/>
  <c r="O23"/>
  <c r="P23" s="1"/>
  <c r="M23"/>
  <c r="I133"/>
  <c r="G133"/>
  <c r="O133" s="1"/>
  <c r="P133" s="1"/>
  <c r="M134"/>
  <c r="M133"/>
  <c r="I131"/>
  <c r="I128"/>
  <c r="I126"/>
  <c r="I123"/>
  <c r="I120"/>
  <c r="G120"/>
  <c r="O120" s="1"/>
  <c r="G123"/>
  <c r="G126"/>
  <c r="O126" s="1"/>
  <c r="P126" s="1"/>
  <c r="G128"/>
  <c r="G131"/>
  <c r="O131" s="1"/>
  <c r="P131" s="1"/>
  <c r="I245"/>
  <c r="G245"/>
  <c r="O245" s="1"/>
  <c r="M245"/>
  <c r="I242"/>
  <c r="I239"/>
  <c r="G242"/>
  <c r="O242" s="1"/>
  <c r="P242" s="1"/>
  <c r="G239"/>
  <c r="O239" s="1"/>
  <c r="P239" s="1"/>
  <c r="M240"/>
  <c r="M239"/>
  <c r="M243"/>
  <c r="M242"/>
  <c r="I221"/>
  <c r="I223"/>
  <c r="I225"/>
  <c r="G221"/>
  <c r="O221" s="1"/>
  <c r="P221" s="1"/>
  <c r="G223"/>
  <c r="O223" s="1"/>
  <c r="P223" s="1"/>
  <c r="G225"/>
  <c r="O225" s="1"/>
  <c r="P225" s="1"/>
  <c r="M223"/>
  <c r="M221"/>
  <c r="O215"/>
  <c r="P215" s="1"/>
  <c r="O216"/>
  <c r="P216" s="1"/>
  <c r="O217"/>
  <c r="O218"/>
  <c r="P218" s="1"/>
  <c r="P213"/>
  <c r="P217"/>
  <c r="O203"/>
  <c r="P203" s="1"/>
  <c r="M205"/>
  <c r="M207"/>
  <c r="M209"/>
  <c r="M210"/>
  <c r="M212"/>
  <c r="I205"/>
  <c r="I207"/>
  <c r="I209"/>
  <c r="I210"/>
  <c r="I212"/>
  <c r="I202"/>
  <c r="G219"/>
  <c r="O219" s="1"/>
  <c r="P219" s="1"/>
  <c r="G205"/>
  <c r="G207"/>
  <c r="G209"/>
  <c r="G210"/>
  <c r="O210" s="1"/>
  <c r="G212"/>
  <c r="G214"/>
  <c r="O214" s="1"/>
  <c r="P214" s="1"/>
  <c r="G202"/>
  <c r="O202" s="1"/>
  <c r="P202" s="1"/>
  <c r="M219"/>
  <c r="M202"/>
  <c r="M117"/>
  <c r="M118"/>
  <c r="O186"/>
  <c r="P186" s="1"/>
  <c r="M184"/>
  <c r="O172"/>
  <c r="P172" s="1"/>
  <c r="I169"/>
  <c r="I174"/>
  <c r="I176"/>
  <c r="I182"/>
  <c r="I184"/>
  <c r="G169"/>
  <c r="G171"/>
  <c r="O171" s="1"/>
  <c r="P171" s="1"/>
  <c r="G174"/>
  <c r="G176"/>
  <c r="G178"/>
  <c r="O178" s="1"/>
  <c r="P178" s="1"/>
  <c r="G180"/>
  <c r="O180" s="1"/>
  <c r="P180" s="1"/>
  <c r="G182"/>
  <c r="G184"/>
  <c r="I167"/>
  <c r="G167"/>
  <c r="I117"/>
  <c r="G117"/>
  <c r="I109"/>
  <c r="I106"/>
  <c r="I104"/>
  <c r="G104"/>
  <c r="G106"/>
  <c r="G109"/>
  <c r="G102"/>
  <c r="O102" s="1"/>
  <c r="P102" s="1"/>
  <c r="O85"/>
  <c r="I81"/>
  <c r="G81"/>
  <c r="O104"/>
  <c r="I63"/>
  <c r="I65"/>
  <c r="I68"/>
  <c r="I75"/>
  <c r="G63"/>
  <c r="G65"/>
  <c r="G68"/>
  <c r="G75"/>
  <c r="P51" i="2"/>
  <c r="M49"/>
  <c r="I49"/>
  <c r="G49"/>
  <c r="O49" s="1"/>
  <c r="P49" s="1"/>
  <c r="M47"/>
  <c r="I47"/>
  <c r="O47" s="1"/>
  <c r="P47" s="1"/>
  <c r="G47"/>
  <c r="O45"/>
  <c r="O44"/>
  <c r="P44" s="1"/>
  <c r="O43"/>
  <c r="P43" s="1"/>
  <c r="O41"/>
  <c r="P41" s="1"/>
  <c r="M41"/>
  <c r="M40"/>
  <c r="I40"/>
  <c r="G40"/>
  <c r="O40" s="1"/>
  <c r="P40" s="1"/>
  <c r="O38"/>
  <c r="P38" s="1"/>
  <c r="M38"/>
  <c r="O37"/>
  <c r="P37" s="1"/>
  <c r="M37"/>
  <c r="O36"/>
  <c r="P36" s="1"/>
  <c r="M36"/>
  <c r="O35"/>
  <c r="P35" s="1"/>
  <c r="M35"/>
  <c r="O34"/>
  <c r="P34" s="1"/>
  <c r="M34"/>
  <c r="I34"/>
  <c r="G34"/>
  <c r="O32"/>
  <c r="P32" s="1"/>
  <c r="M32"/>
  <c r="O31"/>
  <c r="P31" s="1"/>
  <c r="M31"/>
  <c r="O30"/>
  <c r="P30" s="1"/>
  <c r="M30"/>
  <c r="O29"/>
  <c r="P29" s="1"/>
  <c r="M29"/>
  <c r="O28"/>
  <c r="P28" s="1"/>
  <c r="M28"/>
  <c r="I28"/>
  <c r="G28"/>
  <c r="M26"/>
  <c r="I26"/>
  <c r="G26"/>
  <c r="O26" s="1"/>
  <c r="P26" s="1"/>
  <c r="M21"/>
  <c r="I21"/>
  <c r="G21"/>
  <c r="O21" s="1"/>
  <c r="P21" s="1"/>
  <c r="O19"/>
  <c r="P19" s="1"/>
  <c r="M19"/>
  <c r="O18"/>
  <c r="P18" s="1"/>
  <c r="M18"/>
  <c r="M17"/>
  <c r="I17"/>
  <c r="G17"/>
  <c r="O17" s="1"/>
  <c r="P17" s="1"/>
  <c r="I15"/>
  <c r="O15" s="1"/>
  <c r="P15" s="1"/>
  <c r="G13"/>
  <c r="O13" s="1"/>
  <c r="P13" s="1"/>
  <c r="I11"/>
  <c r="G11"/>
  <c r="O11" s="1"/>
  <c r="P11" s="1"/>
  <c r="I9"/>
  <c r="G9"/>
  <c r="O9" s="1"/>
  <c r="P9" s="1"/>
  <c r="O39" i="1"/>
  <c r="P39" s="1"/>
  <c r="P85"/>
  <c r="M85"/>
  <c r="M84"/>
  <c r="M83"/>
  <c r="O82"/>
  <c r="P82" s="1"/>
  <c r="M82"/>
  <c r="M81"/>
  <c r="O79"/>
  <c r="P79" s="1"/>
  <c r="O76"/>
  <c r="P76" s="1"/>
  <c r="M79"/>
  <c r="M78"/>
  <c r="M77"/>
  <c r="M76"/>
  <c r="M75"/>
  <c r="O71"/>
  <c r="P71" s="1"/>
  <c r="O70"/>
  <c r="O69"/>
  <c r="P69" s="1"/>
  <c r="P70"/>
  <c r="M69"/>
  <c r="M70"/>
  <c r="M68"/>
  <c r="O66"/>
  <c r="P66" s="1"/>
  <c r="M102"/>
  <c r="P104"/>
  <c r="M104"/>
  <c r="M106"/>
  <c r="O106"/>
  <c r="P106" s="1"/>
  <c r="M107"/>
  <c r="M109"/>
  <c r="M120"/>
  <c r="M121"/>
  <c r="M123"/>
  <c r="M126"/>
  <c r="M128"/>
  <c r="M129"/>
  <c r="M131"/>
  <c r="M132"/>
  <c r="P151"/>
  <c r="P153"/>
  <c r="M167"/>
  <c r="M169"/>
  <c r="M172"/>
  <c r="M174"/>
  <c r="M176"/>
  <c r="M178"/>
  <c r="M180"/>
  <c r="M182"/>
  <c r="O34"/>
  <c r="O33"/>
  <c r="P33" s="1"/>
  <c r="O32"/>
  <c r="P32" s="1"/>
  <c r="O31"/>
  <c r="P31" s="1"/>
  <c r="O28"/>
  <c r="P28" s="1"/>
  <c r="O27"/>
  <c r="P27" s="1"/>
  <c r="O26"/>
  <c r="O25"/>
  <c r="O24"/>
  <c r="O38"/>
  <c r="P38" s="1"/>
  <c r="O36"/>
  <c r="P36" s="1"/>
  <c r="O40"/>
  <c r="O61"/>
  <c r="P61" s="1"/>
  <c r="O60"/>
  <c r="O59"/>
  <c r="P60"/>
  <c r="P59"/>
  <c r="M61"/>
  <c r="M60"/>
  <c r="M59"/>
  <c r="I58"/>
  <c r="G58"/>
  <c r="O58" s="1"/>
  <c r="P58" s="1"/>
  <c r="M58"/>
  <c r="P26"/>
  <c r="P25"/>
  <c r="O18"/>
  <c r="P18" s="1"/>
  <c r="O19"/>
  <c r="P19" s="1"/>
  <c r="P24"/>
  <c r="P34"/>
  <c r="M36"/>
  <c r="M34"/>
  <c r="M33"/>
  <c r="M32"/>
  <c r="M31"/>
  <c r="M28"/>
  <c r="M27"/>
  <c r="M26"/>
  <c r="M25"/>
  <c r="M18"/>
  <c r="M17"/>
  <c r="M19"/>
  <c r="M21"/>
  <c r="M22"/>
  <c r="M24"/>
  <c r="M30"/>
  <c r="M35"/>
  <c r="M42"/>
  <c r="M44"/>
  <c r="I11"/>
  <c r="I15"/>
  <c r="O15" s="1"/>
  <c r="P15" s="1"/>
  <c r="I17"/>
  <c r="I21"/>
  <c r="I22"/>
  <c r="I24"/>
  <c r="I30"/>
  <c r="I35"/>
  <c r="I42"/>
  <c r="I44"/>
  <c r="I9"/>
  <c r="G11"/>
  <c r="G13"/>
  <c r="O13" s="1"/>
  <c r="P13" s="1"/>
  <c r="G17"/>
  <c r="G21"/>
  <c r="G22"/>
  <c r="G24"/>
  <c r="G30"/>
  <c r="G35"/>
  <c r="G42"/>
  <c r="G44"/>
  <c r="G9"/>
  <c r="O207" l="1"/>
  <c r="P207" s="1"/>
  <c r="O123"/>
  <c r="P123" s="1"/>
  <c r="O44"/>
  <c r="P44" s="1"/>
  <c r="O35"/>
  <c r="P35" s="1"/>
  <c r="O21"/>
  <c r="P21" s="1"/>
  <c r="O117"/>
  <c r="O128"/>
  <c r="P128" s="1"/>
  <c r="E365"/>
  <c r="E369" s="1"/>
  <c r="H363"/>
  <c r="O9"/>
  <c r="P9" s="1"/>
  <c r="O42"/>
  <c r="P42" s="1"/>
  <c r="O17"/>
  <c r="P17" s="1"/>
  <c r="O11"/>
  <c r="P11" s="1"/>
  <c r="O212"/>
  <c r="P212" s="1"/>
  <c r="O209"/>
  <c r="P209" s="1"/>
  <c r="O205"/>
  <c r="P205" s="1"/>
  <c r="O22"/>
  <c r="P22" s="1"/>
  <c r="D387"/>
  <c r="D389" s="1"/>
  <c r="D391" s="1"/>
  <c r="H359"/>
  <c r="H319"/>
  <c r="H321" s="1"/>
  <c r="P117"/>
  <c r="P245"/>
  <c r="P253" s="1"/>
  <c r="P255" s="1"/>
  <c r="P257" s="1"/>
  <c r="P259" s="1"/>
  <c r="P261" s="1"/>
  <c r="O30"/>
  <c r="O109"/>
  <c r="P109" s="1"/>
  <c r="P154"/>
  <c r="P156" s="1"/>
  <c r="P158" s="1"/>
  <c r="P160" s="1"/>
  <c r="P162" s="1"/>
  <c r="P210"/>
  <c r="O68"/>
  <c r="P68" s="1"/>
  <c r="P30"/>
  <c r="P120"/>
  <c r="O167"/>
  <c r="P167" s="1"/>
  <c r="O182"/>
  <c r="P182" s="1"/>
  <c r="O174"/>
  <c r="P174" s="1"/>
  <c r="O184"/>
  <c r="P184" s="1"/>
  <c r="O176"/>
  <c r="P176" s="1"/>
  <c r="O169"/>
  <c r="P169" s="1"/>
  <c r="O63"/>
  <c r="P63" s="1"/>
  <c r="O65"/>
  <c r="P65" s="1"/>
  <c r="P53" i="2"/>
  <c r="P55" s="1"/>
  <c r="P57" s="1"/>
  <c r="P227" i="1" l="1"/>
  <c r="P136"/>
  <c r="P138" s="1"/>
  <c r="P140" s="1"/>
  <c r="P142" s="1"/>
  <c r="P144" s="1"/>
  <c r="P46"/>
  <c r="E371"/>
  <c r="E373"/>
  <c r="E383" s="1"/>
  <c r="H369"/>
  <c r="H371" s="1"/>
  <c r="P48"/>
  <c r="P50" s="1"/>
  <c r="P52" s="1"/>
  <c r="P54" s="1"/>
  <c r="P229"/>
  <c r="P231" s="1"/>
  <c r="P233" s="1"/>
  <c r="P235" s="1"/>
  <c r="H365"/>
  <c r="P88"/>
  <c r="P89" s="1"/>
  <c r="P91" s="1"/>
  <c r="P93" s="1"/>
  <c r="P95" s="1"/>
  <c r="P188"/>
  <c r="P190" s="1"/>
  <c r="P192" s="1"/>
  <c r="P194" s="1"/>
  <c r="P196" s="1"/>
  <c r="E385" l="1"/>
  <c r="E387" s="1"/>
  <c r="E389" s="1"/>
  <c r="E391" s="1"/>
  <c r="H373"/>
  <c r="G379" l="1"/>
  <c r="H379" s="1"/>
  <c r="G378"/>
  <c r="G381" l="1"/>
  <c r="G383" s="1"/>
  <c r="H378"/>
  <c r="H381" s="1"/>
  <c r="G385" l="1"/>
  <c r="G387" s="1"/>
  <c r="G389" s="1"/>
  <c r="G391" s="1"/>
  <c r="H383"/>
  <c r="H385" s="1"/>
  <c r="H387" l="1"/>
  <c r="H389" s="1"/>
  <c r="H391" s="1"/>
</calcChain>
</file>

<file path=xl/sharedStrings.xml><?xml version="1.0" encoding="utf-8"?>
<sst xmlns="http://schemas.openxmlformats.org/spreadsheetml/2006/main" count="621" uniqueCount="292">
  <si>
    <t xml:space="preserve">          Ü³Ë³Ñ³ßí³ÛÇÝ ³ñÅ»ùÁ</t>
  </si>
  <si>
    <t>Ñ³½³ñ ¹ñ³Ù</t>
  </si>
  <si>
    <t>Ð/Ñ</t>
  </si>
  <si>
    <t>¶ÝÇ ÑÇÙùÁ</t>
  </si>
  <si>
    <t>²ßË³ï³ÝùÇ ³Ýí³ÝáõÙÁ</t>
  </si>
  <si>
    <t>â/Ù</t>
  </si>
  <si>
    <t>ø³Ý³Ï</t>
  </si>
  <si>
    <t>Ð/ ³ßË</t>
  </si>
  <si>
    <t>Ø/³ßË</t>
  </si>
  <si>
    <t>ÜÛáõÃÇ ³Ýí³ÝáõÙÁ</t>
  </si>
  <si>
    <t>ÜÛáõÃÇ Í³ËëÁ         ²ñÅ»ùÁ Ñ³½³ñ ¹ñ³Ù</t>
  </si>
  <si>
    <t>éáõµ.</t>
  </si>
  <si>
    <t>¹ñ³Ù</t>
  </si>
  <si>
    <t>ØÇ³í</t>
  </si>
  <si>
    <t>ÀÝ¹³Ù</t>
  </si>
  <si>
    <t>ØÇ³í ³ñÅ»ù</t>
  </si>
  <si>
    <t>ØÇ³í.</t>
  </si>
  <si>
    <t>²ÙµáÕçÁ</t>
  </si>
  <si>
    <t>Ù</t>
  </si>
  <si>
    <t>23-159</t>
  </si>
  <si>
    <t>¶áÛáõÃÛáõÝ áõÝ»óáÕ ցինկապատ թիթեղով ï³ÝÇùÇ ù³Ý¹áõÙ</t>
  </si>
  <si>
    <t>23-154</t>
  </si>
  <si>
    <t>î³ÝÇùÇ ÷³Ûï» ¿É»Ù»ÝïÝ»ñÇ ù³Ý¹áõÙ</t>
  </si>
  <si>
    <t>23-264</t>
  </si>
  <si>
    <t>ÞÇÝ ³ÕµÇ µ³ñÓáõÙ ³/Ù»ù Ó»éùáí</t>
  </si>
  <si>
    <t>ïÝ</t>
  </si>
  <si>
    <t>¶Ü-130 Î5 ·=1.1</t>
  </si>
  <si>
    <t>ÞÇÝ ³ÕµÇ ï»Õ³÷áËáõÙ</t>
  </si>
  <si>
    <t>ÈëáÕ³Ï³Ý å³ïáõÑ³Ý</t>
  </si>
  <si>
    <t>Ñ³ï</t>
  </si>
  <si>
    <t>ê³ñù</t>
  </si>
  <si>
    <t>12-268</t>
  </si>
  <si>
    <t>î³ÝÇùÇ Í³ÍÏáõÛÃ óÇÝÏ³å³ï ³ÉÇù³íáñ ÃÇÃ»ÕÇó Ï³í³ñ³Ù³ÍÇ Ñ»ï ÙÇ³ëÇÝ</t>
  </si>
  <si>
    <r>
      <t>100Ù</t>
    </r>
    <r>
      <rPr>
        <vertAlign val="superscript"/>
        <sz val="9"/>
        <rFont val="Arial Armenian"/>
        <family val="2"/>
      </rPr>
      <t>2</t>
    </r>
  </si>
  <si>
    <t xml:space="preserve">12-288-1   </t>
  </si>
  <si>
    <t>î³ÝÇùÇ ç»ñÙ³Ù»Ïáõë³óáõÙ (15ëÙ)</t>
  </si>
  <si>
    <t>Ù2</t>
  </si>
  <si>
    <t xml:space="preserve">10-70     </t>
  </si>
  <si>
    <t>ö³Ûï» ¿É»Ù»ÝïÝ»ñÇ Ï³éáõóáõÙ</t>
  </si>
  <si>
    <r>
      <t>Ù</t>
    </r>
    <r>
      <rPr>
        <vertAlign val="superscript"/>
        <sz val="9"/>
        <rFont val="Arial Armenian"/>
        <family val="2"/>
      </rPr>
      <t>3</t>
    </r>
  </si>
  <si>
    <t>12-278 8-3</t>
  </si>
  <si>
    <t>æñÑáñ¹³ÝÇ Ï³éáõóáõÙ ó/ÃÇÃ»Õáí</t>
  </si>
  <si>
    <t>100Ù</t>
  </si>
  <si>
    <t>12-313</t>
  </si>
  <si>
    <t>Ö³Ï³ïÝ»ñÇ Ó¨³íáñáõÙ çñ³ï³ñ óÇÝÏ³å³ï ËáÕáí³ÏÝ»ñáí</t>
  </si>
  <si>
    <t>10-203 37-3</t>
  </si>
  <si>
    <t>ö³Ûï» Ï³í³ñ³Ù³ÍÇ Ñ³Ï³Ññ¹»Ñ³ÛÇÝ É³ù³å³ïáõÙ</t>
  </si>
  <si>
    <t>10-201  37-1</t>
  </si>
  <si>
    <t>ÝáõÛÝÁ ÷³Ûï» ¿É»Ù»ÝïÝ»ñÇ</t>
  </si>
  <si>
    <t>å³ïáõÑ³Ý</t>
  </si>
  <si>
    <r>
      <t>Ù</t>
    </r>
    <r>
      <rPr>
        <vertAlign val="superscript"/>
        <sz val="10"/>
        <rFont val="Arial Armenian"/>
        <family val="2"/>
      </rPr>
      <t>2</t>
    </r>
  </si>
  <si>
    <t>÷³Ûï</t>
  </si>
  <si>
    <r>
      <t>Ù</t>
    </r>
    <r>
      <rPr>
        <vertAlign val="superscript"/>
        <sz val="10"/>
        <rFont val="Arial Armenian"/>
        <family val="2"/>
      </rPr>
      <t>3</t>
    </r>
  </si>
  <si>
    <t>²ÉÇù³íáñ ó/ÃÇÃ»Õ</t>
  </si>
  <si>
    <t>ö³Ûï</t>
  </si>
  <si>
    <t>Ï·</t>
  </si>
  <si>
    <t>Ïéí³Íù</t>
  </si>
  <si>
    <t>îáÉ</t>
  </si>
  <si>
    <r>
      <t>Ù</t>
    </r>
    <r>
      <rPr>
        <vertAlign val="superscript"/>
        <sz val="9"/>
        <rFont val="Arial Armenian"/>
        <family val="2"/>
      </rPr>
      <t>2</t>
    </r>
  </si>
  <si>
    <t>Ð³Ï³Ý»ËÇã</t>
  </si>
  <si>
    <t>Ø»Ë</t>
  </si>
  <si>
    <t>Ø»ï³Õ³É³ñ</t>
  </si>
  <si>
    <t>ó/ÃÇÃ»Õ</t>
  </si>
  <si>
    <t>Ù»Ë</t>
  </si>
  <si>
    <t>Ñ»ÕÛáõë</t>
  </si>
  <si>
    <t>·³Ù</t>
  </si>
  <si>
    <t>ï³Ëï³Ï</t>
  </si>
  <si>
    <t>ËáÕáí³Ï</t>
  </si>
  <si>
    <t>çñÑáë Ó³·³ñ</t>
  </si>
  <si>
    <t>çñí³ñ ûïÉÇí</t>
  </si>
  <si>
    <t>Ñ³Ï³Ññ¹»Ñ³ÛÇÝ É³ù</t>
  </si>
  <si>
    <t xml:space="preserve"> </t>
  </si>
  <si>
    <t>ԾԱԾԿ</t>
  </si>
  <si>
    <t>ՀԱՄԱՇԻՆԱՐԱՐԱԿԱՆ</t>
  </si>
  <si>
    <t xml:space="preserve">                 Ü ² Ê ² Ð ² Þ Æ ì</t>
  </si>
  <si>
    <t>ԸՆԴԱՄԵՆԸ</t>
  </si>
  <si>
    <t>ՎԵՐԱԴԻՐ ԾԱԽՍԵՐ 13,3%</t>
  </si>
  <si>
    <t>6-173              16-1</t>
  </si>
  <si>
    <t>կաղապար</t>
  </si>
  <si>
    <t>տախտակ</t>
  </si>
  <si>
    <t>քմ</t>
  </si>
  <si>
    <t>բետոն B-20</t>
  </si>
  <si>
    <t>ամրան</t>
  </si>
  <si>
    <t>տն</t>
  </si>
  <si>
    <t>6-109            12-7</t>
  </si>
  <si>
    <t>կողապատում</t>
  </si>
  <si>
    <t>փայտ</t>
  </si>
  <si>
    <t>Ամրան</t>
  </si>
  <si>
    <t xml:space="preserve">ամրան   </t>
  </si>
  <si>
    <t>6-168 15-9</t>
  </si>
  <si>
    <t>ÏáÕ³å³ïáõÙ</t>
  </si>
  <si>
    <t>¿É»Ïïñá¹</t>
  </si>
  <si>
    <t>µ»ïáÝ ì-20</t>
  </si>
  <si>
    <t>²Ùñ³Ý ²-3</t>
  </si>
  <si>
    <t>ò/ß³Õ³Ë</t>
  </si>
  <si>
    <t>հատ</t>
  </si>
  <si>
    <t>ó/ß³Õ³Ë</t>
  </si>
  <si>
    <t>11-11</t>
  </si>
  <si>
    <t>´»ïáÝ ì7.5</t>
  </si>
  <si>
    <t>11-55 11-56</t>
  </si>
  <si>
    <t>11-134</t>
  </si>
  <si>
    <t>Î»ñ³ÙÇÏ³Ï³Ý ë³ÉÇÏÝ»ñáí Ñ³ï³ÏÇ Ï³éáõóáõÙ</t>
  </si>
  <si>
    <t>Î»ñ³ÙÇÏ³Ï³Ý ë³ÉÇÏÝ»ñ</t>
  </si>
  <si>
    <t>11-194 27-6</t>
  </si>
  <si>
    <t>Ð²ð¸²ðØ²Ü ²ÞÊ²î²ÜøÜºð</t>
  </si>
  <si>
    <t>Ð²î²ÎÜºð</t>
  </si>
  <si>
    <t>15-246-1</t>
  </si>
  <si>
    <t>å³ï»ñÇ µ³ñ»É³íí³Í ëí³ÕáõÙ ·³çáí</t>
  </si>
  <si>
    <t>·³ç</t>
  </si>
  <si>
    <t>çáõñ</t>
  </si>
  <si>
    <t>15-277-1</t>
  </si>
  <si>
    <t>ÝáõÛÝÁ ß»åáõÃÛáõÝÝ»ñÇ</t>
  </si>
  <si>
    <t>ó/³í³½ ß³Õ³Ë</t>
  </si>
  <si>
    <t>15-277  56-1</t>
  </si>
  <si>
    <t>15-660</t>
  </si>
  <si>
    <t>å³ï»ñÇ Ý»ñÏáõÙ É³ï»ùëáí</t>
  </si>
  <si>
    <t>É³ï»ùë</t>
  </si>
  <si>
    <t>Ù³ÍÏáõÙ</t>
  </si>
  <si>
    <t>15-502 155-2</t>
  </si>
  <si>
    <t>15-201   51-1</t>
  </si>
  <si>
    <t>²ñï³ùÇÝ å³ï»ñÇ ë³í³ÕáõÙ ó/³í³½³ÛÇÝ ß³Õ³Ëáí</t>
  </si>
  <si>
    <t>´²òì²ÌøÜºð</t>
  </si>
  <si>
    <t xml:space="preserve"> î»Õ Ï»ï 39</t>
  </si>
  <si>
    <t xml:space="preserve">ºíñáå³Ï³Ý  ïÇåÇ ¹é³Ý ßñç³Ý³ÏÇ ï»Õ³¹ñáõÙ </t>
  </si>
  <si>
    <t xml:space="preserve"> î»Õ Ï»ï 45</t>
  </si>
  <si>
    <t xml:space="preserve">ºíñáå³Ï³Ý ïÇåÇ  å³ïáõÑ³ÝÝ»ñÇ ï»Õ³¹ñáõÙ </t>
  </si>
  <si>
    <t xml:space="preserve">ՇԱՀՈՒՅԹ </t>
  </si>
  <si>
    <t>²é³ëï³ÕÇ ներկում լատեքսով</t>
  </si>
  <si>
    <t>էլ. Լուսավորություն և սարքավորումներ</t>
  </si>
  <si>
    <t>8-525-1</t>
  </si>
  <si>
    <t>²íïáÙ³ï  ³Ýç³ïÇã  
AE2046</t>
  </si>
  <si>
    <t>²íïáÙ³ï  ³Ýç³ïÇã »éµ¨»é  40²</t>
  </si>
  <si>
    <t>²íïáÙ³ï  ³Ýç³ïÇã  
25Ա</t>
  </si>
  <si>
    <t>21-99</t>
  </si>
  <si>
    <t>äÕÝÓ»  çÇÕ»ñáí Ù³ÉáõËÇ ³ÝóÏ³óáõÙ</t>
  </si>
  <si>
    <t>հաղորդալար պղնձե ППВГ2Х2,5</t>
  </si>
  <si>
    <t>21-128</t>
  </si>
  <si>
    <t>Éáõë³ïáõ Ï³ËáíÇ</t>
  </si>
  <si>
    <t>21-130</t>
  </si>
  <si>
    <r>
      <t xml:space="preserve">Éáõë³ïáõ </t>
    </r>
    <r>
      <rPr>
        <sz val="9"/>
        <rFont val="Arial LatRus"/>
        <family val="2"/>
      </rPr>
      <t/>
    </r>
  </si>
  <si>
    <t>21-113</t>
  </si>
  <si>
    <t>³Ýç³ïÇã</t>
  </si>
  <si>
    <t xml:space="preserve">²Ýç³ïÇã ÙÇ³µ¨»é </t>
  </si>
  <si>
    <t>8-591-7</t>
  </si>
  <si>
    <t>ì³ñ¹³Ï »ñÏµ¨»é 250ì  6²</t>
  </si>
  <si>
    <t>ì³ñ¹³Ï »ñÏµ¨»é</t>
  </si>
  <si>
    <t>10-975-8</t>
  </si>
  <si>
    <t>î»Õ³¹ñÙ³Ý ïáõ÷</t>
  </si>
  <si>
    <t>ï»Õ³¹ñÙ³Ý ïáõ÷</t>
  </si>
  <si>
    <t>ÖÛáõÕ³íáñÙ³Ý ïáõ÷</t>
  </si>
  <si>
    <t>×ÛáõÕ³íáñÙ³Ý ïáõ÷</t>
  </si>
  <si>
    <t>10-71    12-1</t>
  </si>
  <si>
    <r>
      <t>100Ù</t>
    </r>
    <r>
      <rPr>
        <vertAlign val="superscript"/>
        <sz val="11"/>
        <rFont val="Arial Armenian"/>
        <family val="2"/>
      </rPr>
      <t>2</t>
    </r>
  </si>
  <si>
    <r>
      <t>Ù</t>
    </r>
    <r>
      <rPr>
        <vertAlign val="superscript"/>
        <sz val="11"/>
        <rFont val="Arial Armenian"/>
        <family val="2"/>
      </rPr>
      <t>3</t>
    </r>
  </si>
  <si>
    <t>ապակեբամբակ ալյումինե թ.</t>
  </si>
  <si>
    <t xml:space="preserve">   միաձույլ երկաթբետոնե գոտիների 
պատրաստում B-20դասի բետոնով
  </t>
  </si>
  <si>
    <t>ծածկի սալ</t>
  </si>
  <si>
    <t xml:space="preserve">  հավաքովի ծածկիի սալերի մոնտաժում մինչև 5քմ մակերեսով</t>
  </si>
  <si>
    <t>7-490</t>
  </si>
  <si>
    <t>7-487</t>
  </si>
  <si>
    <t xml:space="preserve">ծածկի սալ </t>
  </si>
  <si>
    <t xml:space="preserve">  հավաքովի ծածկի սալերի մոնտաժում մինչև 10 քմ մակերեսով</t>
  </si>
  <si>
    <t xml:space="preserve">   միաձույլ երկաթբետոնե շրջանակների
պատրաստում B-25դասի բետոնով Շ1, Շ2
  </t>
  </si>
  <si>
    <t>բետոն B25</t>
  </si>
  <si>
    <t xml:space="preserve">ØÇ³ÓáõÛÉ »/µ հեծանների Ï³éáõóáõÙ  Հ1, Հ2     ì-25 </t>
  </si>
  <si>
    <t xml:space="preserve">ØÇ³ÓáõÛÉ »/µ հեծանների Ï³éáõóáõÙ  Հ3     ì-25 </t>
  </si>
  <si>
    <t>միաձույլ և հավաքովի երկաթբետոնե կոնստրուկցիաներ</t>
  </si>
  <si>
    <t>î³ÝÇùÇ Í³ÍÏáõÛÃ óÇÝÏ³å³ï ³ÉÇù³ íáñ ÃÇÃ»ÕÇó Ï³í³ñ³Ù³ÍÇ Ñ»ï ÙÇ³ëÇÝ</t>
  </si>
  <si>
    <t xml:space="preserve">Լամինատե Ñ³ï³ÏÝ»ñÇ Ï³éáõóáõÙ(Ï³ÕÝáõ) </t>
  </si>
  <si>
    <t>լամինատ/շրիշակով, սպունգով/</t>
  </si>
  <si>
    <t>խարամաբ»ïáÝ» Ý³Ë³ß»ñïÇ Ï³éáõóáõÙ 3,5ëÙ Ñ³ëïáõÃÛ³Ùµ ì 7.5</t>
  </si>
  <si>
    <t>ò»Ù, ³í³½³ÛÇÝ Ñ³ñÃ ß»ñïÇ Ï³éáõóáõÙ 2ëÙ Ñ³ëï</t>
  </si>
  <si>
    <t>²íïáÙ³ï  ³Ýç³ïÇã »éµ¨»é 25² /սիեմենս/</t>
  </si>
  <si>
    <t>Մալուխ Պղնձե, ПВС, 4x10մմ</t>
  </si>
  <si>
    <t>մ</t>
  </si>
  <si>
    <t>Պղնձե, ПВС, 4x10մմ²</t>
  </si>
  <si>
    <t xml:space="preserve">ՋԵՌՈՒՑՈՒՄ և ՕԴԱՓՈԽՈՒԹՅՈՒՆ </t>
  </si>
  <si>
    <t>18-109</t>
  </si>
  <si>
    <t xml:space="preserve"> ¿ÏÙ</t>
  </si>
  <si>
    <t>²Ùñ³ÏÝ»ñ</t>
  </si>
  <si>
    <t>³ÉÛáõÙÇÝ» Ù³ñïÏáó</t>
  </si>
  <si>
    <t>16-261</t>
  </si>
  <si>
    <t>Ø»ï³Õ³åÉ³ëï» ËáÕáí³Ï Ф15ÙÙ</t>
  </si>
  <si>
    <t xml:space="preserve"> ËáÕáí³Ï Ф15</t>
  </si>
  <si>
    <t>ÝáõÛÝÁ Ф20ÙÙ</t>
  </si>
  <si>
    <t>ÝáõÛÝÁ Ф20</t>
  </si>
  <si>
    <t>16-135</t>
  </si>
  <si>
    <t>Êó³Ý³ÛÇÝ ÷³Ï³ÝÇ ï»Õ³¹ñáõÙ Ф20x20</t>
  </si>
  <si>
    <t>Êó³Ý³ÛÇÝ ÷³Ï³ÝÇ ï»Õ³¹ñáõÙ Ф15x15</t>
  </si>
  <si>
    <t>Êó³Ý³ÛÇÝ ÷³Ï³Ý Ф15x15</t>
  </si>
  <si>
    <t>16-134</t>
  </si>
  <si>
    <t>ÞáõÏ³</t>
  </si>
  <si>
    <t>18-229</t>
  </si>
  <si>
    <t xml:space="preserve">Ø³¨ëÏáõ Íáñ³Ï Ф15 </t>
  </si>
  <si>
    <t>²Ùñ³ÏóáõÙ Ф20</t>
  </si>
  <si>
    <t>²Ùñ³ÏóáõÙ Ф25</t>
  </si>
  <si>
    <t>16-319</t>
  </si>
  <si>
    <t>Ð³Ù³Ï³ñ·Ç ÑÇ¹ñ³íÉÇÏ ÷áñÓ³ñÏáõÙ</t>
  </si>
  <si>
    <t>Èáõë³ïáõ լյումինիսցենտային առաստաղի 2x36íï</t>
  </si>
  <si>
    <t>Èáõë³ïáõ լյումինիսցենտային առաստաղի 4x18íï</t>
  </si>
  <si>
    <t>æ»éáõóÙ³Ý ³ÉÛáõÙÇÝ» Ù³ñïÏáó Ñ=600</t>
  </si>
  <si>
    <t>Êó³Ý³ÛÇÝ ÷³Ï³Ý Ф20*20</t>
  </si>
  <si>
    <t xml:space="preserve"> d=25x20x25մմ </t>
  </si>
  <si>
    <t>²ÝÏÛáõÝ³ÏФ25x20</t>
  </si>
  <si>
    <t>ՊԱՏԵՐԻ և ՄԻՋՆՈՐՄՆԵՐԻ ՇԱՐ</t>
  </si>
  <si>
    <t>20-106</t>
  </si>
  <si>
    <t>ùÙ</t>
  </si>
  <si>
    <t>ò/ÃÇÃ»Õ</t>
  </si>
  <si>
    <t>ùÙ/Ï·</t>
  </si>
  <si>
    <t>20-404</t>
  </si>
  <si>
    <t>Ä³ÉÛáõ½³ÛÇÝ ó³Ýó P150</t>
  </si>
  <si>
    <t>Å³ÉÛáõ½³ÛÇÝ ó³Ýó</t>
  </si>
  <si>
    <t>46-56</t>
  </si>
  <si>
    <t>²Ýóù»ñÇ µ³óáõÙ ³é³ëï³ÕáõÙ 200x200ÙÙ</t>
  </si>
  <si>
    <t>òÇÝÏ³å³ï û¹³ï³ñ ËáÕáí³Ï ö150(24,0Մ)</t>
  </si>
  <si>
    <t>8-14</t>
  </si>
  <si>
    <t>Â»Ã¨ µ»ïáÝ» 10ëÙ Ñ³ëïáõÃÛ³Ùµ ë³É»ñáí ÙÇçÝáñÙÝ»ñÇ Ï³éáõóáõÙ</t>
  </si>
  <si>
    <t>Â/µ»ïáÝ» ë³É</t>
  </si>
  <si>
    <t>8-163</t>
  </si>
  <si>
    <t>ä³ï»ñÇ ß³ñí³Íù 200մմ հաստությամբ միջնորմային բլոկներով</t>
  </si>
  <si>
    <t>8-59</t>
  </si>
  <si>
    <t>200մմ պեմզաբլոկ</t>
  </si>
  <si>
    <t>փրփրապլաստ</t>
  </si>
  <si>
    <t>ä³ï»ñÇ ÑáñÇ½áÝ³Ï³Ý ³Ùñ³Ý³íáñáõÙ ²-1 դասի Ф - 6մմ ամրանալարով</t>
  </si>
  <si>
    <t>Ալիկաբոնդ</t>
  </si>
  <si>
    <t>34-393</t>
  </si>
  <si>
    <t>ä³ï»ñÇ »ñ»ëå³ïáõÙ ,,Ալիկաբոնդ,,-ով</t>
  </si>
  <si>
    <t>15-327</t>
  </si>
  <si>
    <t>ցինկապատ պրոֆ</t>
  </si>
  <si>
    <t>հեղյուս</t>
  </si>
  <si>
    <t>34-390</t>
  </si>
  <si>
    <t>գիպսակարտոն</t>
  </si>
  <si>
    <t>Կախովի առաստաղի իրականացում գիպսակարտոնե սալերով</t>
  </si>
  <si>
    <t>գմ</t>
  </si>
  <si>
    <t>կգ</t>
  </si>
  <si>
    <t>Արմստրոնգ</t>
  </si>
  <si>
    <t xml:space="preserve">Կախովի առաստաղի իրականացում ««արմստրոնգ,,  </t>
  </si>
  <si>
    <t>Ð ² ì ² ø   Ü ² Ê ² Ð ² Þ Æ ì</t>
  </si>
  <si>
    <t>Ü³Ë³Ñ³ß ¨ Ñ³ßí.Ñ³Ù³ñ</t>
  </si>
  <si>
    <t>¶ÉáõËÝ»ñÇ, ûµÛ»ÏïÝ»ñÇ, ³ßË³ï³ÝùÝ»ñÇ ¨ ³ÛÉ Í³Ëë»ñÇ ³Ýí³ÝáõÙÁ</t>
  </si>
  <si>
    <t>Ü³Ë³Ñ³ßí³ÛÇÝ    ³ñÅ»ùÁ    Ñ³½³ñ   ¹ñ³Ù</t>
  </si>
  <si>
    <t>ÀÝ¹³Ù»ÝÁ</t>
  </si>
  <si>
    <t>ÞÇÝ³ñ³ñ³Ï³Ý ³ßË³ï³ÝùÝ»ñ</t>
  </si>
  <si>
    <t>ØáÝï³Å³ÛÇÝ  ³ßË³ï³ÝùÝ»ñ</t>
  </si>
  <si>
    <t>ê³ñù³íáñáõÙÇ, Ï³ÑáõÛùÇ ¨ ·áõÛùÇ</t>
  </si>
  <si>
    <t>²ÛÉ Ì³Ëë»ñ</t>
  </si>
  <si>
    <t>¿É. Éáõë³íáñáõÃÛáõÝ</t>
  </si>
  <si>
    <t>ÀÜ¸²ØºÜÀ</t>
  </si>
  <si>
    <t>Ծածկ</t>
  </si>
  <si>
    <t>միաձույլ և հավաքովի ե/բ կոնստրուկցիաներ</t>
  </si>
  <si>
    <t>Հատակներ և հարդարում</t>
  </si>
  <si>
    <t>Բացվածքներ</t>
  </si>
  <si>
    <t>Պատեր և միջնորմներ</t>
  </si>
  <si>
    <t>Ջեռուցում ր օդափոխություն</t>
  </si>
  <si>
    <t>² Ø ö à ö   Ü ² Ê ² Ð ² Þ Æ ì</t>
  </si>
  <si>
    <t>Ü³Ë³Ñ³ßí³ÛÇÝ ³ñÅ»ùÁ</t>
  </si>
  <si>
    <t>Ð³ßí.Ñ³Ù³ñÁ</t>
  </si>
  <si>
    <t>²ñÅ»ùÁ    Ñ³½³ñ    ¹ñ³Ù</t>
  </si>
  <si>
    <t>ê³ñù³íáñáõÙÝ»ñ Ï³ÑáõÛùÇ ¨ ·áõÛùÇ</t>
  </si>
  <si>
    <t>ÀÜ¸²ØºÜÀ  ¶ÈàôÊ    2</t>
  </si>
  <si>
    <t>1.5%</t>
  </si>
  <si>
    <t>Ä³Ù³Ý³Ï³íáñ ß»Ýù»ñ ¨ Ï³éáõÛóÝ»ñ</t>
  </si>
  <si>
    <t>ÀÜ¸²ØºÜÀ ¶ÈàôÊ   2-8</t>
  </si>
  <si>
    <t>ÎÉÇÙ³Û³Ï³Ý å³ÛÙ³ÝÝ»ñÇ ³½¹»óáõÃÛáõÝ</t>
  </si>
  <si>
    <t>ÀÜ¸²ØºÜÀ  ¶ÈàôÊ    9</t>
  </si>
  <si>
    <t>ÀÜ¸²ØºÜÀ ¶ÈàôÊ   2-9</t>
  </si>
  <si>
    <t>î»ËÝÇÏ³Ï³Ý ÑëÏáÕáõÃÛáõÝ</t>
  </si>
  <si>
    <t>Ð»ÕÇÝ³Ï³ÛÇÝ ÑëÏáÕáõÃÛáõÝ</t>
  </si>
  <si>
    <t>ÀÜ¸²ØºÜÀ  ¶ÈàôÊ    10</t>
  </si>
  <si>
    <t>ÀÜ¸²ØºÜÀ ¶ÈàôÊ   2-10</t>
  </si>
  <si>
    <t>3%</t>
  </si>
  <si>
    <t>âÝ³Ë³ï»ëí³Í Í³Ëë»ñ</t>
  </si>
  <si>
    <t>20%</t>
  </si>
  <si>
    <t>².².Ð</t>
  </si>
  <si>
    <t>²Ø´àÔæÀ Àêî ²Øöàö Ü²Ê²Ð²ÞìÆ</t>
  </si>
  <si>
    <t>ՀՀ «« Փձրձագիտական կենտրոն«« ՊՈԱԿ-ի  մասնաշենքի վերակառուցում</t>
  </si>
  <si>
    <t>հավաք նախահ</t>
  </si>
  <si>
    <t>ՀՀ«« Փորձագիտական կենտրոն«« ՊՈԱԿ-ի 4-րդ հարկի վերակառուցում</t>
  </si>
  <si>
    <t>0,7%</t>
  </si>
  <si>
    <t>2,0%</t>
  </si>
  <si>
    <t>0.6%</t>
  </si>
  <si>
    <r>
      <t>¶ÈàôÊ   2</t>
    </r>
    <r>
      <rPr>
        <i/>
        <sz val="12"/>
        <rFont val="Arial Armenian"/>
        <family val="2"/>
      </rPr>
      <t xml:space="preserve"> ,</t>
    </r>
    <r>
      <rPr>
        <sz val="12"/>
        <rFont val="Arial Armenian"/>
        <family val="2"/>
      </rPr>
      <t>ÞÆÜ²ð²ðàôÂÚ²Ü ÐÆØÜ²Î²Ü ú´ÚºÎîÜºð</t>
    </r>
  </si>
  <si>
    <r>
      <t xml:space="preserve">¶ÈàôÊ 8, </t>
    </r>
    <r>
      <rPr>
        <i/>
        <sz val="12"/>
        <rFont val="Arial Armenian"/>
        <family val="2"/>
      </rPr>
      <t xml:space="preserve"> </t>
    </r>
    <r>
      <rPr>
        <sz val="12"/>
        <rFont val="Arial Armenian"/>
        <family val="2"/>
      </rPr>
      <t>Ä²Ø²Ü²Î²ìàð ÞºÜøºð ºì Î²èàôÚòÜºð</t>
    </r>
  </si>
  <si>
    <r>
      <t>¶ÈàôÊ 9</t>
    </r>
    <r>
      <rPr>
        <sz val="12"/>
        <rFont val="Arial Armenian"/>
        <family val="2"/>
      </rPr>
      <t xml:space="preserve"> ,  ²ÚÈ ²ÞÊ²î²ÜøÜºð ºì Ì²Êêºð</t>
    </r>
  </si>
  <si>
    <r>
      <t>¶ÈàôÊ 10</t>
    </r>
    <r>
      <rPr>
        <sz val="12"/>
        <rFont val="Arial Armenian"/>
        <family val="2"/>
      </rPr>
      <t xml:space="preserve">  îÜúðÆÜàôÂÚ²Ü ä²Ðä²ÜàôØ ºì ÐºÔÆÜ²Î²²ÚÆÜ ÐêÎàÔàôÂÚàôÜ</t>
    </r>
  </si>
  <si>
    <r>
      <t>100Ù</t>
    </r>
    <r>
      <rPr>
        <vertAlign val="superscript"/>
        <sz val="12"/>
        <rFont val="Arial Armenian"/>
        <family val="2"/>
      </rPr>
      <t>2</t>
    </r>
  </si>
  <si>
    <r>
      <t>Ù</t>
    </r>
    <r>
      <rPr>
        <vertAlign val="superscript"/>
        <sz val="12"/>
        <rFont val="Arial Armenian"/>
        <family val="2"/>
      </rPr>
      <t>2</t>
    </r>
  </si>
  <si>
    <r>
      <t>Ù</t>
    </r>
    <r>
      <rPr>
        <vertAlign val="superscript"/>
        <sz val="12"/>
        <rFont val="Arial Armenian"/>
        <family val="2"/>
      </rPr>
      <t>3</t>
    </r>
  </si>
  <si>
    <t>Ø³ÉáõË ППВГ2x2.5ùÙÙ</t>
  </si>
  <si>
    <r>
      <t xml:space="preserve">ÎñÏÝ³ÏÇ Ï³ñ·³íáñÙ³Ý ÷³Ï³Ý </t>
    </r>
    <r>
      <rPr>
        <sz val="12"/>
        <rFont val="Arial LatRus"/>
        <family val="2"/>
      </rPr>
      <t>ô</t>
    </r>
    <r>
      <rPr>
        <sz val="12"/>
        <rFont val="Arial Armenian"/>
        <family val="2"/>
      </rPr>
      <t>15x1/2</t>
    </r>
  </si>
  <si>
    <r>
      <rPr>
        <sz val="12"/>
        <rFont val="Arial Armenian"/>
        <family val="2"/>
      </rPr>
      <t>Պոլիպրոպիլենային,  d=25x20x25մմ</t>
    </r>
    <r>
      <rPr>
        <sz val="12"/>
        <rFont val="GHEA Grapalat"/>
        <family val="3"/>
      </rPr>
      <t xml:space="preserve"> </t>
    </r>
  </si>
  <si>
    <r>
      <t>²Ùñ³Ý ²</t>
    </r>
    <r>
      <rPr>
        <sz val="12"/>
        <rFont val="Arial LatRus"/>
        <family val="2"/>
      </rPr>
      <t>-</t>
    </r>
    <r>
      <rPr>
        <sz val="12"/>
        <rFont val="Arial Armenian"/>
        <family val="2"/>
      </rPr>
      <t>1</t>
    </r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</si>
</sst>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;[Red]0.00"/>
    <numFmt numFmtId="166" formatCode="0.0000"/>
    <numFmt numFmtId="167" formatCode="0.000"/>
  </numFmts>
  <fonts count="4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Armenian"/>
      <family val="2"/>
    </font>
    <font>
      <vertAlign val="superscript"/>
      <sz val="10"/>
      <name val="Arial Armenian"/>
      <family val="2"/>
    </font>
    <font>
      <sz val="9"/>
      <name val="Arial Armenian"/>
      <family val="2"/>
    </font>
    <font>
      <b/>
      <i/>
      <sz val="10"/>
      <name val="Arial Armenian"/>
      <family val="2"/>
    </font>
    <font>
      <b/>
      <i/>
      <sz val="9"/>
      <name val="Arial Armenian"/>
      <family val="2"/>
    </font>
    <font>
      <sz val="10"/>
      <name val="Arial"/>
      <family val="2"/>
      <charset val="204"/>
    </font>
    <font>
      <vertAlign val="superscript"/>
      <sz val="9"/>
      <name val="Arial Armenian"/>
      <family val="2"/>
    </font>
    <font>
      <b/>
      <i/>
      <u/>
      <sz val="9"/>
      <name val="Arial Armenian"/>
      <family val="2"/>
    </font>
    <font>
      <b/>
      <sz val="11"/>
      <name val="Arial Armenian"/>
      <family val="2"/>
    </font>
    <font>
      <sz val="11"/>
      <name val="Arial Armenian"/>
      <family val="2"/>
    </font>
    <font>
      <sz val="10"/>
      <color theme="1"/>
      <name val="Arial Armenian"/>
      <family val="2"/>
    </font>
    <font>
      <sz val="10"/>
      <color indexed="8"/>
      <name val="Arial Armenian"/>
      <family val="2"/>
    </font>
    <font>
      <sz val="9"/>
      <name val="Arial LatRus"/>
      <family val="2"/>
    </font>
    <font>
      <vertAlign val="superscript"/>
      <sz val="11"/>
      <name val="Arial Armenian"/>
      <family val="2"/>
    </font>
    <font>
      <b/>
      <sz val="10"/>
      <name val="Arial Armenian"/>
      <family val="2"/>
    </font>
    <font>
      <sz val="11"/>
      <color theme="1"/>
      <name val="Arial Armenian"/>
      <family val="2"/>
    </font>
    <font>
      <b/>
      <sz val="11"/>
      <color theme="1"/>
      <name val="Arial Armenian"/>
      <family val="2"/>
    </font>
    <font>
      <sz val="9"/>
      <color indexed="8"/>
      <name val="Arial Armenian"/>
      <family val="2"/>
    </font>
    <font>
      <b/>
      <sz val="10"/>
      <color theme="1"/>
      <name val="Arial Armenian"/>
      <family val="2"/>
    </font>
    <font>
      <sz val="10"/>
      <color theme="1"/>
      <name val="Calibri"/>
      <family val="2"/>
      <charset val="204"/>
      <scheme val="minor"/>
    </font>
    <font>
      <sz val="12"/>
      <name val="Arial Armenian"/>
      <family val="2"/>
    </font>
    <font>
      <b/>
      <sz val="18"/>
      <name val="Arial Armenian"/>
      <family val="2"/>
    </font>
    <font>
      <b/>
      <sz val="16"/>
      <name val="Arial Armenian"/>
      <family val="2"/>
    </font>
    <font>
      <b/>
      <sz val="12"/>
      <name val="Arial Armenian"/>
      <family val="2"/>
    </font>
    <font>
      <u/>
      <sz val="12"/>
      <name val="Arial Armenian"/>
      <family val="2"/>
    </font>
    <font>
      <i/>
      <sz val="12"/>
      <name val="Arial Armenian"/>
      <family val="2"/>
    </font>
    <font>
      <sz val="12"/>
      <color indexed="14"/>
      <name val="Arial Armenian"/>
      <family val="2"/>
    </font>
    <font>
      <b/>
      <i/>
      <sz val="12"/>
      <name val="Arial Armenian"/>
      <family val="2"/>
    </font>
    <font>
      <vertAlign val="superscript"/>
      <sz val="12"/>
      <name val="Arial Armenian"/>
      <family val="2"/>
    </font>
    <font>
      <b/>
      <i/>
      <u/>
      <sz val="12"/>
      <name val="Arial Armenian"/>
      <family val="2"/>
    </font>
    <font>
      <sz val="12"/>
      <color theme="1"/>
      <name val="Arial Armenian"/>
      <family val="2"/>
    </font>
    <font>
      <sz val="12"/>
      <color theme="1"/>
      <name val="Calibri"/>
      <family val="2"/>
      <charset val="204"/>
      <scheme val="minor"/>
    </font>
    <font>
      <b/>
      <sz val="12"/>
      <color theme="1"/>
      <name val="Arial Armenian"/>
      <family val="2"/>
    </font>
    <font>
      <sz val="12"/>
      <color indexed="8"/>
      <name val="Arial Armenian"/>
      <family val="2"/>
    </font>
    <font>
      <sz val="12"/>
      <color indexed="10"/>
      <name val="Arial Armenian"/>
      <family val="2"/>
    </font>
    <font>
      <sz val="12"/>
      <name val="Arial LatRus"/>
      <family val="2"/>
    </font>
    <font>
      <sz val="12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1">
    <xf numFmtId="0" fontId="0" fillId="0" borderId="0"/>
    <xf numFmtId="0" fontId="2" fillId="0" borderId="0"/>
    <xf numFmtId="2" fontId="5" fillId="0" borderId="1" applyFill="0" applyBorder="0" applyAlignment="0">
      <alignment horizontal="right" vertical="center"/>
    </xf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398">
    <xf numFmtId="0" fontId="0" fillId="0" borderId="0" xfId="0"/>
    <xf numFmtId="0" fontId="2" fillId="0" borderId="0" xfId="1"/>
    <xf numFmtId="164" fontId="3" fillId="0" borderId="0" xfId="3" applyNumberFormat="1" applyFont="1" applyFill="1" applyAlignment="1">
      <alignment horizontal="center" vertical="center"/>
    </xf>
    <xf numFmtId="2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center" vertical="center"/>
    </xf>
    <xf numFmtId="0" fontId="3" fillId="0" borderId="1" xfId="3" applyNumberFormat="1" applyFont="1" applyBorder="1" applyAlignment="1">
      <alignment horizontal="center" vertical="center"/>
    </xf>
    <xf numFmtId="0" fontId="3" fillId="0" borderId="1" xfId="3" applyNumberFormat="1" applyFont="1" applyFill="1" applyBorder="1" applyAlignment="1">
      <alignment horizontal="center" vertical="center"/>
    </xf>
    <xf numFmtId="0" fontId="3" fillId="0" borderId="0" xfId="4" applyFont="1" applyAlignment="1">
      <alignment horizontal="center" vertical="center"/>
    </xf>
    <xf numFmtId="0" fontId="3" fillId="0" borderId="1" xfId="3" applyFont="1" applyBorder="1" applyAlignment="1">
      <alignment horizontal="center" vertical="center"/>
    </xf>
    <xf numFmtId="2" fontId="3" fillId="0" borderId="1" xfId="3" applyNumberFormat="1" applyFont="1" applyFill="1" applyBorder="1" applyAlignment="1">
      <alignment horizontal="center" vertical="center"/>
    </xf>
    <xf numFmtId="165" fontId="3" fillId="0" borderId="1" xfId="3" applyNumberFormat="1" applyFont="1" applyFill="1" applyBorder="1" applyAlignment="1">
      <alignment horizontal="center" vertical="center"/>
    </xf>
    <xf numFmtId="0" fontId="3" fillId="0" borderId="0" xfId="3" applyNumberFormat="1" applyFont="1" applyFill="1" applyBorder="1" applyAlignment="1">
      <alignment horizontal="center" vertical="center"/>
    </xf>
    <xf numFmtId="167" fontId="3" fillId="0" borderId="0" xfId="4" applyNumberFormat="1" applyFont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0" fontId="3" fillId="0" borderId="1" xfId="3" applyFont="1" applyBorder="1" applyAlignment="1">
      <alignment horizontal="center" vertical="center" wrapText="1"/>
    </xf>
    <xf numFmtId="164" fontId="3" fillId="0" borderId="1" xfId="3" applyNumberFormat="1" applyFont="1" applyFill="1" applyBorder="1" applyAlignment="1">
      <alignment horizontal="center" vertical="center"/>
    </xf>
    <xf numFmtId="49" fontId="3" fillId="0" borderId="0" xfId="6" applyNumberFormat="1" applyFont="1" applyAlignment="1">
      <alignment horizontal="center" vertical="center" wrapText="1"/>
    </xf>
    <xf numFmtId="0" fontId="3" fillId="0" borderId="0" xfId="6" applyFont="1" applyAlignment="1">
      <alignment horizontal="left" vertical="center" wrapText="1"/>
    </xf>
    <xf numFmtId="167" fontId="3" fillId="0" borderId="0" xfId="6" applyNumberFormat="1" applyFont="1" applyAlignment="1">
      <alignment horizontal="center" vertical="center"/>
    </xf>
    <xf numFmtId="49" fontId="5" fillId="0" borderId="0" xfId="6" applyNumberFormat="1" applyFont="1" applyAlignment="1">
      <alignment horizontal="center" vertical="center" wrapText="1"/>
    </xf>
    <xf numFmtId="167" fontId="5" fillId="0" borderId="0" xfId="6" applyNumberFormat="1" applyFont="1" applyAlignment="1">
      <alignment horizontal="center" vertical="center"/>
    </xf>
    <xf numFmtId="167" fontId="5" fillId="0" borderId="0" xfId="6" applyNumberFormat="1" applyFont="1" applyFill="1" applyAlignment="1">
      <alignment horizontal="center" vertical="center"/>
    </xf>
    <xf numFmtId="49" fontId="5" fillId="0" borderId="0" xfId="6" applyNumberFormat="1" applyFont="1" applyAlignment="1">
      <alignment horizontal="center" vertical="center"/>
    </xf>
    <xf numFmtId="49" fontId="5" fillId="0" borderId="0" xfId="6" applyNumberFormat="1" applyFont="1" applyFill="1" applyAlignment="1">
      <alignment horizontal="center" vertical="center" wrapText="1"/>
    </xf>
    <xf numFmtId="49" fontId="5" fillId="0" borderId="0" xfId="6" applyNumberFormat="1" applyFont="1" applyFill="1" applyBorder="1" applyAlignment="1">
      <alignment horizontal="center" vertical="center" wrapText="1"/>
    </xf>
    <xf numFmtId="167" fontId="5" fillId="0" borderId="0" xfId="6" applyNumberFormat="1" applyFont="1" applyFill="1" applyBorder="1" applyAlignment="1">
      <alignment horizontal="center" vertical="center"/>
    </xf>
    <xf numFmtId="49" fontId="5" fillId="0" borderId="0" xfId="6" applyNumberFormat="1" applyFont="1" applyFill="1" applyAlignment="1">
      <alignment horizontal="center" vertical="center"/>
    </xf>
    <xf numFmtId="167" fontId="10" fillId="0" borderId="0" xfId="6" applyNumberFormat="1" applyFont="1" applyAlignment="1">
      <alignment horizontal="center" vertical="center"/>
    </xf>
    <xf numFmtId="0" fontId="3" fillId="0" borderId="0" xfId="9" applyFont="1" applyAlignment="1">
      <alignment horizontal="center" vertical="center"/>
    </xf>
    <xf numFmtId="0" fontId="5" fillId="0" borderId="0" xfId="9" applyFont="1" applyAlignment="1">
      <alignment horizontal="left" vertical="center" wrapText="1"/>
    </xf>
    <xf numFmtId="2" fontId="5" fillId="0" borderId="0" xfId="9" applyNumberFormat="1" applyFont="1" applyAlignment="1">
      <alignment horizontal="left" vertical="center" wrapText="1"/>
    </xf>
    <xf numFmtId="0" fontId="3" fillId="0" borderId="0" xfId="9" applyFont="1" applyAlignment="1">
      <alignment horizontal="left" vertical="center" wrapText="1"/>
    </xf>
    <xf numFmtId="167" fontId="3" fillId="0" borderId="0" xfId="9" applyNumberFormat="1" applyFont="1" applyAlignment="1">
      <alignment horizontal="center" vertical="center"/>
    </xf>
    <xf numFmtId="166" fontId="3" fillId="0" borderId="0" xfId="9" applyNumberFormat="1" applyFont="1" applyAlignment="1">
      <alignment horizontal="center" vertical="center"/>
    </xf>
    <xf numFmtId="2" fontId="3" fillId="0" borderId="0" xfId="9" applyNumberFormat="1" applyFont="1" applyFill="1" applyAlignment="1">
      <alignment horizontal="center" vertical="center"/>
    </xf>
    <xf numFmtId="2" fontId="3" fillId="0" borderId="0" xfId="9" applyNumberFormat="1" applyFont="1" applyBorder="1" applyAlignment="1">
      <alignment horizontal="center" vertical="center"/>
    </xf>
    <xf numFmtId="0" fontId="5" fillId="0" borderId="0" xfId="9" applyFont="1" applyFill="1" applyAlignment="1">
      <alignment horizontal="left" vertical="center" wrapText="1"/>
    </xf>
    <xf numFmtId="167" fontId="3" fillId="0" borderId="0" xfId="9" applyNumberFormat="1" applyFont="1" applyFill="1" applyAlignment="1">
      <alignment horizontal="center" vertical="center"/>
    </xf>
    <xf numFmtId="2" fontId="5" fillId="0" borderId="0" xfId="9" applyNumberFormat="1" applyFont="1" applyFill="1" applyAlignment="1">
      <alignment horizontal="left" vertical="center" wrapText="1"/>
    </xf>
    <xf numFmtId="0" fontId="7" fillId="0" borderId="0" xfId="9" applyFont="1" applyAlignment="1">
      <alignment horizontal="left" vertical="center" wrapText="1"/>
    </xf>
    <xf numFmtId="0" fontId="5" fillId="0" borderId="0" xfId="9" applyFont="1" applyFill="1" applyAlignment="1">
      <alignment horizontal="center" vertical="center"/>
    </xf>
    <xf numFmtId="0" fontId="5" fillId="0" borderId="0" xfId="9" applyFont="1" applyFill="1" applyBorder="1" applyAlignment="1">
      <alignment horizontal="left" vertical="center" wrapText="1"/>
    </xf>
    <xf numFmtId="0" fontId="5" fillId="0" borderId="0" xfId="9" applyFont="1" applyAlignment="1">
      <alignment horizontal="center" vertical="center"/>
    </xf>
    <xf numFmtId="167" fontId="5" fillId="0" borderId="0" xfId="9" applyNumberFormat="1" applyFont="1" applyAlignment="1">
      <alignment horizontal="center" vertical="center"/>
    </xf>
    <xf numFmtId="166" fontId="5" fillId="0" borderId="0" xfId="9" applyNumberFormat="1" applyFont="1" applyFill="1" applyAlignment="1">
      <alignment horizontal="center" vertical="center"/>
    </xf>
    <xf numFmtId="167" fontId="5" fillId="0" borderId="0" xfId="9" applyNumberFormat="1" applyFont="1" applyFill="1" applyAlignment="1">
      <alignment horizontal="center" vertical="center"/>
    </xf>
    <xf numFmtId="167" fontId="5" fillId="0" borderId="0" xfId="9" applyNumberFormat="1" applyFont="1" applyFill="1" applyBorder="1" applyAlignment="1">
      <alignment horizontal="center" vertical="center"/>
    </xf>
    <xf numFmtId="0" fontId="5" fillId="0" borderId="0" xfId="9" applyFont="1" applyFill="1" applyBorder="1" applyAlignment="1">
      <alignment horizontal="center" vertical="center" textRotation="90"/>
    </xf>
    <xf numFmtId="2" fontId="5" fillId="0" borderId="0" xfId="9" applyNumberFormat="1" applyFont="1" applyFill="1" applyBorder="1" applyAlignment="1">
      <alignment horizontal="center" vertical="center"/>
    </xf>
    <xf numFmtId="0" fontId="7" fillId="0" borderId="0" xfId="9" applyFont="1" applyFill="1" applyAlignment="1">
      <alignment horizontal="left" vertical="center" wrapText="1"/>
    </xf>
    <xf numFmtId="167" fontId="10" fillId="0" borderId="0" xfId="9" applyNumberFormat="1" applyFont="1" applyAlignment="1">
      <alignment horizontal="center" vertical="center"/>
    </xf>
    <xf numFmtId="166" fontId="3" fillId="0" borderId="0" xfId="9" applyNumberFormat="1" applyFont="1" applyFill="1" applyAlignment="1">
      <alignment horizontal="center" vertical="center"/>
    </xf>
    <xf numFmtId="166" fontId="5" fillId="0" borderId="0" xfId="9" applyNumberFormat="1" applyFont="1" applyFill="1" applyBorder="1" applyAlignment="1">
      <alignment horizontal="center" vertical="center"/>
    </xf>
    <xf numFmtId="166" fontId="5" fillId="0" borderId="0" xfId="9" applyNumberFormat="1" applyFont="1" applyAlignment="1">
      <alignment horizontal="center" vertical="center"/>
    </xf>
    <xf numFmtId="166" fontId="3" fillId="0" borderId="0" xfId="9" applyNumberFormat="1" applyFont="1" applyBorder="1" applyAlignment="1">
      <alignment horizontal="center" vertical="center"/>
    </xf>
    <xf numFmtId="166" fontId="7" fillId="0" borderId="0" xfId="9" applyNumberFormat="1" applyFont="1" applyFill="1" applyBorder="1" applyAlignment="1">
      <alignment horizontal="center" vertical="center"/>
    </xf>
    <xf numFmtId="167" fontId="3" fillId="0" borderId="0" xfId="7" applyNumberFormat="1" applyFont="1" applyAlignment="1">
      <alignment horizontal="center" vertical="center"/>
    </xf>
    <xf numFmtId="167" fontId="3" fillId="0" borderId="0" xfId="10" applyNumberFormat="1" applyFont="1" applyAlignment="1">
      <alignment horizontal="center" vertical="center"/>
    </xf>
    <xf numFmtId="167" fontId="3" fillId="0" borderId="0" xfId="11" applyNumberFormat="1" applyFont="1" applyAlignment="1">
      <alignment horizontal="center" vertical="center"/>
    </xf>
    <xf numFmtId="167" fontId="5" fillId="0" borderId="0" xfId="12" applyNumberFormat="1" applyFont="1" applyFill="1" applyBorder="1" applyAlignment="1">
      <alignment horizontal="center" vertical="center"/>
    </xf>
    <xf numFmtId="167" fontId="5" fillId="0" borderId="0" xfId="13" applyNumberFormat="1" applyFont="1" applyAlignment="1">
      <alignment horizontal="center" vertical="center"/>
    </xf>
    <xf numFmtId="167" fontId="5" fillId="0" borderId="0" xfId="14" applyNumberFormat="1" applyFont="1" applyAlignment="1">
      <alignment horizontal="center" vertical="center"/>
    </xf>
    <xf numFmtId="167" fontId="5" fillId="0" borderId="0" xfId="15" applyNumberFormat="1" applyFont="1" applyFill="1" applyAlignment="1">
      <alignment horizontal="center" vertical="center"/>
    </xf>
    <xf numFmtId="167" fontId="5" fillId="0" borderId="0" xfId="16" applyNumberFormat="1" applyFont="1" applyFill="1" applyAlignment="1">
      <alignment horizontal="center" vertical="center"/>
    </xf>
    <xf numFmtId="167" fontId="5" fillId="0" borderId="0" xfId="17" applyNumberFormat="1" applyFont="1" applyFill="1" applyAlignment="1">
      <alignment horizontal="center" vertical="center"/>
    </xf>
    <xf numFmtId="0" fontId="3" fillId="0" borderId="0" xfId="3" applyNumberFormat="1" applyFont="1" applyBorder="1" applyAlignment="1">
      <alignment horizontal="center" vertical="center"/>
    </xf>
    <xf numFmtId="167" fontId="5" fillId="0" borderId="0" xfId="18" applyNumberFormat="1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3" fillId="0" borderId="0" xfId="6" applyFont="1"/>
    <xf numFmtId="2" fontId="3" fillId="0" borderId="0" xfId="6" applyNumberFormat="1" applyFont="1" applyAlignment="1">
      <alignment horizontal="left" vertical="center" wrapText="1"/>
    </xf>
    <xf numFmtId="0" fontId="3" fillId="0" borderId="0" xfId="6" applyFont="1" applyFill="1" applyBorder="1" applyAlignment="1">
      <alignment horizontal="left" vertical="center" wrapText="1"/>
    </xf>
    <xf numFmtId="0" fontId="3" fillId="0" borderId="0" xfId="6" applyFont="1" applyFill="1" applyAlignment="1">
      <alignment horizontal="left" vertical="center" wrapText="1"/>
    </xf>
    <xf numFmtId="0" fontId="13" fillId="0" borderId="0" xfId="0" applyFont="1"/>
    <xf numFmtId="0" fontId="12" fillId="0" borderId="0" xfId="6" applyFont="1" applyAlignment="1">
      <alignment horizontal="center" vertical="center" textRotation="90"/>
    </xf>
    <xf numFmtId="0" fontId="12" fillId="0" borderId="0" xfId="6" applyFont="1" applyAlignment="1">
      <alignment horizontal="center" vertical="center"/>
    </xf>
    <xf numFmtId="2" fontId="12" fillId="0" borderId="0" xfId="6" applyNumberFormat="1" applyFont="1" applyBorder="1" applyAlignment="1">
      <alignment horizontal="center" vertical="center"/>
    </xf>
    <xf numFmtId="0" fontId="12" fillId="0" borderId="0" xfId="6" applyFont="1" applyFill="1" applyBorder="1" applyAlignment="1">
      <alignment horizontal="center" vertical="center" textRotation="90"/>
    </xf>
    <xf numFmtId="0" fontId="12" fillId="0" borderId="0" xfId="6" applyFont="1" applyFill="1" applyAlignment="1">
      <alignment horizontal="center" vertical="center"/>
    </xf>
    <xf numFmtId="0" fontId="12" fillId="0" borderId="0" xfId="6" applyFont="1" applyFill="1" applyAlignment="1">
      <alignment horizontal="center" vertical="center" textRotation="90"/>
    </xf>
    <xf numFmtId="0" fontId="17" fillId="0" borderId="0" xfId="3" applyNumberFormat="1" applyFont="1" applyBorder="1" applyAlignment="1">
      <alignment horizontal="center" vertical="center"/>
    </xf>
    <xf numFmtId="0" fontId="18" fillId="0" borderId="0" xfId="0" applyFont="1"/>
    <xf numFmtId="0" fontId="3" fillId="0" borderId="0" xfId="9" applyFont="1"/>
    <xf numFmtId="0" fontId="12" fillId="0" borderId="0" xfId="6" applyFont="1"/>
    <xf numFmtId="0" fontId="18" fillId="0" borderId="0" xfId="0" applyFont="1" applyAlignment="1">
      <alignment horizontal="center" vertical="center"/>
    </xf>
    <xf numFmtId="0" fontId="19" fillId="0" borderId="0" xfId="0" applyFont="1"/>
    <xf numFmtId="167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9" fontId="18" fillId="0" borderId="0" xfId="0" applyNumberFormat="1" applyFont="1" applyAlignment="1">
      <alignment horizontal="left" vertical="top"/>
    </xf>
    <xf numFmtId="2" fontId="3" fillId="0" borderId="0" xfId="3" applyNumberFormat="1" applyFont="1" applyFill="1" applyAlignment="1">
      <alignment horizontal="center" vertical="center"/>
    </xf>
    <xf numFmtId="167" fontId="5" fillId="0" borderId="0" xfId="0" applyNumberFormat="1" applyFont="1" applyFill="1" applyAlignment="1">
      <alignment horizontal="center" vertical="center"/>
    </xf>
    <xf numFmtId="0" fontId="22" fillId="0" borderId="0" xfId="0" applyFont="1"/>
    <xf numFmtId="0" fontId="21" fillId="0" borderId="0" xfId="0" applyFont="1"/>
    <xf numFmtId="0" fontId="3" fillId="0" borderId="0" xfId="3" applyFont="1" applyFill="1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5" fillId="0" borderId="0" xfId="3" applyFont="1" applyAlignment="1">
      <alignment horizontal="left" vertical="center" wrapText="1"/>
    </xf>
    <xf numFmtId="167" fontId="3" fillId="0" borderId="0" xfId="3" applyNumberFormat="1" applyFont="1" applyAlignment="1">
      <alignment horizontal="center" vertical="center"/>
    </xf>
    <xf numFmtId="167" fontId="3" fillId="0" borderId="0" xfId="3" applyNumberFormat="1" applyFont="1" applyFill="1" applyAlignment="1">
      <alignment horizontal="center" vertical="center"/>
    </xf>
    <xf numFmtId="0" fontId="3" fillId="0" borderId="0" xfId="3" applyFont="1" applyAlignment="1">
      <alignment horizontal="left" vertical="center" wrapText="1"/>
    </xf>
    <xf numFmtId="167" fontId="3" fillId="0" borderId="0" xfId="3" applyNumberFormat="1" applyFont="1" applyFill="1" applyBorder="1" applyAlignment="1">
      <alignment horizontal="right" vertical="center"/>
    </xf>
    <xf numFmtId="0" fontId="14" fillId="0" borderId="0" xfId="3" applyFont="1" applyAlignment="1">
      <alignment horizontal="center" vertical="center"/>
    </xf>
    <xf numFmtId="0" fontId="20" fillId="0" borderId="0" xfId="3" applyFont="1" applyAlignment="1">
      <alignment horizontal="left" vertical="center" wrapText="1"/>
    </xf>
    <xf numFmtId="167" fontId="14" fillId="0" borderId="0" xfId="3" applyNumberFormat="1" applyFont="1" applyAlignment="1">
      <alignment horizontal="center" vertical="center"/>
    </xf>
    <xf numFmtId="0" fontId="14" fillId="0" borderId="0" xfId="3" applyFont="1" applyAlignment="1">
      <alignment horizontal="left" vertical="center" wrapText="1"/>
    </xf>
    <xf numFmtId="0" fontId="5" fillId="0" borderId="0" xfId="3" applyFont="1" applyAlignment="1">
      <alignment wrapText="1"/>
    </xf>
    <xf numFmtId="0" fontId="3" fillId="0" borderId="0" xfId="3" applyFont="1" applyAlignment="1">
      <alignment wrapText="1"/>
    </xf>
    <xf numFmtId="167" fontId="5" fillId="0" borderId="0" xfId="3" applyNumberFormat="1" applyFont="1" applyAlignment="1">
      <alignment horizontal="center" vertical="center"/>
    </xf>
    <xf numFmtId="167" fontId="5" fillId="0" borderId="0" xfId="3" applyNumberFormat="1" applyFont="1" applyFill="1" applyBorder="1" applyAlignment="1">
      <alignment horizontal="center" vertical="center"/>
    </xf>
    <xf numFmtId="0" fontId="3" fillId="0" borderId="0" xfId="1" applyFont="1"/>
    <xf numFmtId="167" fontId="5" fillId="0" borderId="0" xfId="0" applyNumberFormat="1" applyFont="1" applyFill="1" applyAlignment="1">
      <alignment horizontal="center" vertical="center"/>
    </xf>
    <xf numFmtId="167" fontId="1" fillId="0" borderId="0" xfId="0" applyNumberFormat="1" applyFont="1"/>
    <xf numFmtId="167" fontId="23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2" fontId="24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2" fontId="3" fillId="0" borderId="0" xfId="0" applyNumberFormat="1" applyFont="1" applyFill="1" applyAlignment="1">
      <alignment horizontal="right" vertical="center"/>
    </xf>
    <xf numFmtId="167" fontId="25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3" fillId="0" borderId="0" xfId="0" applyNumberFormat="1" applyFont="1" applyAlignment="1">
      <alignment horizontal="right" vertical="center"/>
    </xf>
    <xf numFmtId="0" fontId="3" fillId="0" borderId="0" xfId="0" applyFont="1"/>
    <xf numFmtId="0" fontId="26" fillId="0" borderId="0" xfId="0" applyFont="1" applyAlignment="1">
      <alignment horizontal="center" vertical="center"/>
    </xf>
    <xf numFmtId="49" fontId="26" fillId="0" borderId="0" xfId="0" applyNumberFormat="1" applyFont="1" applyAlignment="1">
      <alignment horizontal="center" vertical="center" wrapText="1"/>
    </xf>
    <xf numFmtId="0" fontId="26" fillId="0" borderId="0" xfId="0" applyFont="1"/>
    <xf numFmtId="167" fontId="26" fillId="0" borderId="0" xfId="0" applyNumberFormat="1" applyFont="1" applyAlignment="1">
      <alignment horizontal="center" vertical="center"/>
    </xf>
    <xf numFmtId="2" fontId="26" fillId="0" borderId="0" xfId="0" applyNumberFormat="1" applyFont="1" applyAlignment="1">
      <alignment horizontal="right" vertical="center"/>
    </xf>
    <xf numFmtId="2" fontId="26" fillId="0" borderId="0" xfId="0" applyNumberFormat="1" applyFont="1" applyFill="1" applyAlignment="1">
      <alignment horizontal="right" vertical="center"/>
    </xf>
    <xf numFmtId="167" fontId="26" fillId="0" borderId="0" xfId="0" applyNumberFormat="1" applyFont="1" applyFill="1" applyAlignment="1">
      <alignment horizontal="right" vertical="center"/>
    </xf>
    <xf numFmtId="2" fontId="23" fillId="0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167" fontId="6" fillId="0" borderId="0" xfId="0" applyNumberFormat="1" applyFont="1" applyAlignment="1">
      <alignment horizontal="right" vertical="center" wrapText="1"/>
    </xf>
    <xf numFmtId="2" fontId="6" fillId="0" borderId="0" xfId="0" applyNumberFormat="1" applyFont="1" applyAlignment="1">
      <alignment horizontal="right" vertical="center" wrapText="1"/>
    </xf>
    <xf numFmtId="164" fontId="6" fillId="0" borderId="0" xfId="0" applyNumberFormat="1" applyFont="1" applyAlignment="1">
      <alignment horizontal="left" vertical="center" wrapText="1"/>
    </xf>
    <xf numFmtId="0" fontId="23" fillId="0" borderId="0" xfId="0" applyFont="1" applyAlignment="1">
      <alignment horizontal="center" vertical="center"/>
    </xf>
    <xf numFmtId="49" fontId="23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167" fontId="23" fillId="0" borderId="0" xfId="0" applyNumberFormat="1" applyFont="1" applyFill="1" applyAlignment="1">
      <alignment horizontal="right" vertical="center"/>
    </xf>
    <xf numFmtId="2" fontId="23" fillId="0" borderId="0" xfId="0" applyNumberFormat="1" applyFont="1" applyFill="1" applyAlignment="1">
      <alignment horizontal="right" vertical="center"/>
    </xf>
    <xf numFmtId="0" fontId="23" fillId="0" borderId="0" xfId="0" applyFont="1"/>
    <xf numFmtId="167" fontId="23" fillId="0" borderId="1" xfId="0" applyNumberFormat="1" applyFont="1" applyFill="1" applyBorder="1" applyAlignment="1">
      <alignment horizontal="right" vertical="center" wrapText="1"/>
    </xf>
    <xf numFmtId="2" fontId="23" fillId="0" borderId="1" xfId="0" applyNumberFormat="1" applyFont="1" applyFill="1" applyBorder="1" applyAlignment="1">
      <alignment horizontal="left" vertical="center" wrapText="1"/>
    </xf>
    <xf numFmtId="2" fontId="23" fillId="0" borderId="1" xfId="0" applyNumberFormat="1" applyFont="1" applyFill="1" applyBorder="1" applyAlignment="1">
      <alignment horizontal="center" vertical="center" wrapText="1"/>
    </xf>
    <xf numFmtId="2" fontId="23" fillId="0" borderId="1" xfId="0" applyNumberFormat="1" applyFont="1" applyBorder="1" applyAlignment="1">
      <alignment horizontal="right" vertical="center"/>
    </xf>
    <xf numFmtId="49" fontId="23" fillId="0" borderId="3" xfId="0" applyNumberFormat="1" applyFont="1" applyBorder="1" applyAlignment="1">
      <alignment vertical="center" wrapText="1"/>
    </xf>
    <xf numFmtId="0" fontId="23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 wrapText="1"/>
    </xf>
    <xf numFmtId="2" fontId="23" fillId="0" borderId="0" xfId="0" applyNumberFormat="1" applyFont="1" applyAlignment="1">
      <alignment horizontal="right" vertical="center"/>
    </xf>
    <xf numFmtId="167" fontId="23" fillId="0" borderId="0" xfId="0" applyNumberFormat="1" applyFont="1" applyAlignment="1">
      <alignment horizontal="left" vertical="center" wrapText="1"/>
    </xf>
    <xf numFmtId="167" fontId="23" fillId="0" borderId="0" xfId="0" applyNumberFormat="1" applyFont="1" applyAlignment="1">
      <alignment horizontal="right" vertical="center"/>
    </xf>
    <xf numFmtId="167" fontId="23" fillId="0" borderId="8" xfId="0" applyNumberFormat="1" applyFont="1" applyBorder="1" applyAlignment="1">
      <alignment horizontal="left" vertical="center" wrapText="1"/>
    </xf>
    <xf numFmtId="167" fontId="23" fillId="0" borderId="8" xfId="0" applyNumberFormat="1" applyFont="1" applyFill="1" applyBorder="1" applyAlignment="1">
      <alignment horizontal="right" vertical="center"/>
    </xf>
    <xf numFmtId="167" fontId="23" fillId="0" borderId="8" xfId="0" applyNumberFormat="1" applyFont="1" applyFill="1" applyBorder="1" applyAlignment="1">
      <alignment horizontal="center" vertical="center"/>
    </xf>
    <xf numFmtId="167" fontId="23" fillId="0" borderId="8" xfId="0" applyNumberFormat="1" applyFont="1" applyBorder="1" applyAlignment="1">
      <alignment horizontal="right" vertical="center"/>
    </xf>
    <xf numFmtId="167" fontId="23" fillId="0" borderId="8" xfId="0" applyNumberFormat="1" applyFont="1" applyBorder="1" applyAlignment="1">
      <alignment horizontal="right"/>
    </xf>
    <xf numFmtId="167" fontId="28" fillId="0" borderId="0" xfId="0" applyNumberFormat="1" applyFont="1" applyBorder="1" applyAlignment="1">
      <alignment horizontal="left" vertical="center" wrapText="1"/>
    </xf>
    <xf numFmtId="167" fontId="23" fillId="0" borderId="0" xfId="0" applyNumberFormat="1" applyFont="1" applyAlignment="1">
      <alignment horizontal="right"/>
    </xf>
    <xf numFmtId="49" fontId="29" fillId="0" borderId="0" xfId="0" applyNumberFormat="1" applyFont="1" applyAlignment="1">
      <alignment horizontal="center" vertical="center" wrapText="1"/>
    </xf>
    <xf numFmtId="167" fontId="30" fillId="0" borderId="0" xfId="0" applyNumberFormat="1" applyFont="1" applyAlignment="1">
      <alignment horizontal="left" vertical="center" wrapText="1"/>
    </xf>
    <xf numFmtId="167" fontId="30" fillId="0" borderId="0" xfId="0" applyNumberFormat="1" applyFont="1" applyFill="1" applyAlignment="1">
      <alignment horizontal="right" vertical="center"/>
    </xf>
    <xf numFmtId="0" fontId="30" fillId="0" borderId="0" xfId="0" applyFont="1" applyAlignment="1">
      <alignment horizontal="center" vertical="center"/>
    </xf>
    <xf numFmtId="49" fontId="30" fillId="0" borderId="0" xfId="0" applyNumberFormat="1" applyFont="1" applyAlignment="1">
      <alignment horizontal="center" vertical="center" wrapText="1"/>
    </xf>
    <xf numFmtId="167" fontId="30" fillId="0" borderId="0" xfId="0" applyNumberFormat="1" applyFont="1" applyFill="1" applyAlignment="1">
      <alignment horizontal="center" vertical="center"/>
    </xf>
    <xf numFmtId="167" fontId="23" fillId="0" borderId="0" xfId="0" applyNumberFormat="1" applyFont="1" applyAlignment="1">
      <alignment horizontal="center" vertical="center"/>
    </xf>
    <xf numFmtId="167" fontId="23" fillId="0" borderId="0" xfId="0" applyNumberFormat="1" applyFont="1"/>
    <xf numFmtId="167" fontId="30" fillId="0" borderId="8" xfId="0" applyNumberFormat="1" applyFont="1" applyBorder="1" applyAlignment="1">
      <alignment horizontal="left" vertical="center" wrapText="1"/>
    </xf>
    <xf numFmtId="167" fontId="30" fillId="0" borderId="0" xfId="0" applyNumberFormat="1" applyFont="1" applyBorder="1" applyAlignment="1">
      <alignment horizontal="left" vertical="center" wrapText="1"/>
    </xf>
    <xf numFmtId="167" fontId="30" fillId="0" borderId="0" xfId="0" applyNumberFormat="1" applyFont="1" applyFill="1" applyBorder="1" applyAlignment="1">
      <alignment horizontal="right" vertical="center"/>
    </xf>
    <xf numFmtId="167" fontId="23" fillId="0" borderId="0" xfId="0" applyNumberFormat="1" applyFont="1" applyFill="1" applyBorder="1" applyAlignment="1">
      <alignment horizontal="right" vertical="center"/>
    </xf>
    <xf numFmtId="167" fontId="23" fillId="0" borderId="0" xfId="0" applyNumberFormat="1" applyFont="1" applyFill="1" applyBorder="1" applyAlignment="1">
      <alignment horizontal="center" vertical="center"/>
    </xf>
    <xf numFmtId="167" fontId="23" fillId="0" borderId="0" xfId="0" applyNumberFormat="1" applyFont="1" applyBorder="1" applyAlignment="1">
      <alignment horizontal="right"/>
    </xf>
    <xf numFmtId="167" fontId="30" fillId="2" borderId="0" xfId="0" applyNumberFormat="1" applyFont="1" applyFill="1" applyAlignment="1">
      <alignment horizontal="left" vertical="center" wrapText="1"/>
    </xf>
    <xf numFmtId="167" fontId="30" fillId="2" borderId="0" xfId="0" applyNumberFormat="1" applyFont="1" applyFill="1" applyAlignment="1">
      <alignment horizontal="right" vertical="center" wrapText="1"/>
    </xf>
    <xf numFmtId="167" fontId="30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right"/>
    </xf>
    <xf numFmtId="0" fontId="23" fillId="0" borderId="1" xfId="0" applyFont="1" applyFill="1" applyBorder="1" applyAlignment="1">
      <alignment horizontal="right" vertical="center" wrapText="1"/>
    </xf>
    <xf numFmtId="2" fontId="23" fillId="0" borderId="1" xfId="0" applyNumberFormat="1" applyFont="1" applyFill="1" applyBorder="1" applyAlignment="1">
      <alignment horizontal="right" vertical="center" wrapText="1"/>
    </xf>
    <xf numFmtId="0" fontId="23" fillId="0" borderId="1" xfId="0" applyFont="1" applyBorder="1" applyAlignment="1">
      <alignment horizontal="right" vertical="center"/>
    </xf>
    <xf numFmtId="0" fontId="23" fillId="0" borderId="9" xfId="0" applyFont="1" applyBorder="1" applyAlignment="1">
      <alignment horizontal="center" vertical="center"/>
    </xf>
    <xf numFmtId="49" fontId="23" fillId="0" borderId="10" xfId="0" applyNumberFormat="1" applyFont="1" applyBorder="1" applyAlignment="1">
      <alignment horizontal="center" vertical="center" wrapText="1"/>
    </xf>
    <xf numFmtId="2" fontId="23" fillId="0" borderId="10" xfId="0" applyNumberFormat="1" applyFont="1" applyFill="1" applyBorder="1" applyAlignment="1">
      <alignment horizontal="right" vertical="center"/>
    </xf>
    <xf numFmtId="2" fontId="23" fillId="0" borderId="10" xfId="0" applyNumberFormat="1" applyFont="1" applyBorder="1" applyAlignment="1">
      <alignment horizontal="right" vertical="center"/>
    </xf>
    <xf numFmtId="0" fontId="23" fillId="0" borderId="11" xfId="0" applyFont="1" applyBorder="1" applyAlignment="1">
      <alignment horizontal="right"/>
    </xf>
    <xf numFmtId="0" fontId="23" fillId="0" borderId="12" xfId="0" applyFont="1" applyBorder="1" applyAlignment="1">
      <alignment horizontal="center" vertical="center"/>
    </xf>
    <xf numFmtId="49" fontId="23" fillId="0" borderId="0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167" fontId="23" fillId="0" borderId="0" xfId="0" applyNumberFormat="1" applyFont="1" applyBorder="1" applyAlignment="1">
      <alignment horizontal="right" vertical="center"/>
    </xf>
    <xf numFmtId="167" fontId="23" fillId="0" borderId="13" xfId="0" applyNumberFormat="1" applyFont="1" applyBorder="1" applyAlignment="1">
      <alignment horizontal="right"/>
    </xf>
    <xf numFmtId="0" fontId="23" fillId="0" borderId="0" xfId="0" applyFont="1" applyFill="1" applyAlignment="1">
      <alignment horizontal="right" vertical="center"/>
    </xf>
    <xf numFmtId="0" fontId="30" fillId="0" borderId="0" xfId="0" applyFont="1" applyFill="1" applyBorder="1" applyAlignment="1">
      <alignment horizontal="right" vertical="center"/>
    </xf>
    <xf numFmtId="167" fontId="28" fillId="2" borderId="0" xfId="0" applyNumberFormat="1" applyFont="1" applyFill="1" applyBorder="1" applyAlignment="1">
      <alignment horizontal="right" vertical="center"/>
    </xf>
    <xf numFmtId="0" fontId="23" fillId="0" borderId="14" xfId="0" applyFont="1" applyBorder="1" applyAlignment="1">
      <alignment horizontal="center" vertical="center"/>
    </xf>
    <xf numFmtId="49" fontId="23" fillId="0" borderId="2" xfId="0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horizontal="left" vertical="center" wrapText="1"/>
    </xf>
    <xf numFmtId="167" fontId="23" fillId="0" borderId="2" xfId="0" applyNumberFormat="1" applyFont="1" applyFill="1" applyBorder="1" applyAlignment="1">
      <alignment horizontal="right" vertical="center"/>
    </xf>
    <xf numFmtId="0" fontId="23" fillId="0" borderId="2" xfId="0" applyFont="1" applyFill="1" applyBorder="1" applyAlignment="1">
      <alignment horizontal="right" vertical="center"/>
    </xf>
    <xf numFmtId="0" fontId="23" fillId="0" borderId="2" xfId="0" applyFont="1" applyBorder="1" applyAlignment="1">
      <alignment horizontal="right" vertical="center"/>
    </xf>
    <xf numFmtId="0" fontId="26" fillId="0" borderId="15" xfId="0" applyFont="1" applyBorder="1" applyAlignment="1">
      <alignment horizontal="right"/>
    </xf>
    <xf numFmtId="0" fontId="23" fillId="0" borderId="0" xfId="4" applyFont="1" applyAlignment="1">
      <alignment horizontal="center" vertical="center"/>
    </xf>
    <xf numFmtId="49" fontId="23" fillId="0" borderId="0" xfId="6" applyNumberFormat="1" applyFont="1" applyAlignment="1">
      <alignment horizontal="center" vertical="center" wrapText="1"/>
    </xf>
    <xf numFmtId="0" fontId="23" fillId="0" borderId="0" xfId="6" applyFont="1" applyAlignment="1">
      <alignment horizontal="left" vertical="center" wrapText="1"/>
    </xf>
    <xf numFmtId="0" fontId="23" fillId="0" borderId="0" xfId="6" applyFont="1" applyAlignment="1">
      <alignment horizontal="center" vertical="center" textRotation="90"/>
    </xf>
    <xf numFmtId="167" fontId="23" fillId="0" borderId="0" xfId="6" applyNumberFormat="1" applyFont="1" applyAlignment="1">
      <alignment horizontal="center" vertical="center"/>
    </xf>
    <xf numFmtId="167" fontId="23" fillId="0" borderId="0" xfId="7" applyNumberFormat="1" applyFont="1" applyAlignment="1">
      <alignment horizontal="center" vertical="center"/>
    </xf>
    <xf numFmtId="167" fontId="23" fillId="0" borderId="0" xfId="9" applyNumberFormat="1" applyFont="1" applyFill="1" applyAlignment="1">
      <alignment horizontal="center" vertical="center"/>
    </xf>
    <xf numFmtId="2" fontId="23" fillId="0" borderId="0" xfId="9" applyNumberFormat="1" applyFont="1" applyFill="1" applyAlignment="1">
      <alignment horizontal="left" vertical="center" wrapText="1"/>
    </xf>
    <xf numFmtId="2" fontId="23" fillId="0" borderId="0" xfId="9" applyNumberFormat="1" applyFont="1" applyFill="1" applyAlignment="1">
      <alignment horizontal="center" vertical="center"/>
    </xf>
    <xf numFmtId="166" fontId="23" fillId="0" borderId="0" xfId="9" applyNumberFormat="1" applyFont="1" applyFill="1" applyAlignment="1">
      <alignment horizontal="center" vertical="center"/>
    </xf>
    <xf numFmtId="0" fontId="23" fillId="0" borderId="0" xfId="9" applyFont="1"/>
    <xf numFmtId="0" fontId="23" fillId="0" borderId="0" xfId="6" applyFont="1"/>
    <xf numFmtId="0" fontId="23" fillId="0" borderId="0" xfId="6" applyFont="1" applyAlignment="1">
      <alignment horizontal="center" vertical="center"/>
    </xf>
    <xf numFmtId="167" fontId="32" fillId="0" borderId="0" xfId="6" applyNumberFormat="1" applyFont="1" applyAlignment="1">
      <alignment horizontal="center" vertical="center"/>
    </xf>
    <xf numFmtId="167" fontId="23" fillId="0" borderId="0" xfId="4" applyNumberFormat="1" applyFont="1" applyAlignment="1">
      <alignment horizontal="center" vertical="center"/>
    </xf>
    <xf numFmtId="167" fontId="32" fillId="0" borderId="0" xfId="9" applyNumberFormat="1" applyFont="1" applyAlignment="1">
      <alignment horizontal="center" vertical="center"/>
    </xf>
    <xf numFmtId="0" fontId="30" fillId="0" borderId="0" xfId="9" applyFont="1" applyAlignment="1">
      <alignment horizontal="left" vertical="center" wrapText="1"/>
    </xf>
    <xf numFmtId="0" fontId="23" fillId="0" borderId="0" xfId="9" applyFont="1" applyAlignment="1">
      <alignment horizontal="center" vertical="center"/>
    </xf>
    <xf numFmtId="166" fontId="23" fillId="0" borderId="0" xfId="9" applyNumberFormat="1" applyFont="1" applyAlignment="1">
      <alignment horizontal="center" vertical="center"/>
    </xf>
    <xf numFmtId="167" fontId="23" fillId="0" borderId="0" xfId="10" applyNumberFormat="1" applyFont="1" applyAlignment="1">
      <alignment horizontal="center" vertical="center"/>
    </xf>
    <xf numFmtId="167" fontId="23" fillId="0" borderId="0" xfId="9" applyNumberFormat="1" applyFont="1" applyAlignment="1">
      <alignment horizontal="center" vertical="center"/>
    </xf>
    <xf numFmtId="0" fontId="23" fillId="0" borderId="0" xfId="9" applyFont="1" applyAlignment="1">
      <alignment horizontal="left" vertical="center" wrapText="1"/>
    </xf>
    <xf numFmtId="167" fontId="23" fillId="0" borderId="0" xfId="11" applyNumberFormat="1" applyFont="1" applyAlignment="1">
      <alignment horizontal="center" vertical="center"/>
    </xf>
    <xf numFmtId="2" fontId="23" fillId="0" borderId="0" xfId="9" applyNumberFormat="1" applyFont="1" applyAlignment="1">
      <alignment horizontal="left" vertical="center" wrapText="1"/>
    </xf>
    <xf numFmtId="2" fontId="23" fillId="0" borderId="0" xfId="6" applyNumberFormat="1" applyFont="1" applyAlignment="1">
      <alignment horizontal="left" vertical="center" wrapText="1"/>
    </xf>
    <xf numFmtId="2" fontId="23" fillId="0" borderId="0" xfId="6" applyNumberFormat="1" applyFont="1" applyBorder="1" applyAlignment="1">
      <alignment horizontal="center" vertical="center"/>
    </xf>
    <xf numFmtId="2" fontId="23" fillId="0" borderId="0" xfId="9" applyNumberFormat="1" applyFont="1" applyBorder="1" applyAlignment="1">
      <alignment horizontal="center" vertical="center"/>
    </xf>
    <xf numFmtId="166" fontId="23" fillId="0" borderId="0" xfId="9" applyNumberFormat="1" applyFont="1" applyBorder="1" applyAlignment="1">
      <alignment horizontal="center" vertical="center"/>
    </xf>
    <xf numFmtId="0" fontId="33" fillId="0" borderId="0" xfId="0" applyFont="1"/>
    <xf numFmtId="0" fontId="33" fillId="0" borderId="0" xfId="0" applyFont="1" applyAlignment="1">
      <alignment horizontal="center" vertical="center"/>
    </xf>
    <xf numFmtId="49" fontId="23" fillId="0" borderId="0" xfId="6" applyNumberFormat="1" applyFont="1" applyFill="1" applyBorder="1" applyAlignment="1">
      <alignment horizontal="center" vertical="center" wrapText="1"/>
    </xf>
    <xf numFmtId="0" fontId="23" fillId="0" borderId="0" xfId="6" applyFont="1" applyFill="1" applyBorder="1" applyAlignment="1">
      <alignment horizontal="left" vertical="center" wrapText="1"/>
    </xf>
    <xf numFmtId="0" fontId="23" fillId="0" borderId="0" xfId="6" applyFont="1" applyFill="1" applyBorder="1" applyAlignment="1">
      <alignment horizontal="center" vertical="center" textRotation="90"/>
    </xf>
    <xf numFmtId="167" fontId="23" fillId="0" borderId="0" xfId="6" applyNumberFormat="1" applyFont="1" applyFill="1" applyBorder="1" applyAlignment="1">
      <alignment horizontal="center" vertical="center"/>
    </xf>
    <xf numFmtId="167" fontId="23" fillId="0" borderId="0" xfId="12" applyNumberFormat="1" applyFont="1" applyFill="1" applyBorder="1" applyAlignment="1">
      <alignment horizontal="center" vertical="center"/>
    </xf>
    <xf numFmtId="167" fontId="23" fillId="0" borderId="0" xfId="9" applyNumberFormat="1" applyFont="1" applyFill="1" applyBorder="1" applyAlignment="1">
      <alignment horizontal="center" vertical="center"/>
    </xf>
    <xf numFmtId="0" fontId="23" fillId="0" borderId="0" xfId="9" applyFont="1" applyFill="1" applyBorder="1" applyAlignment="1">
      <alignment horizontal="left" vertical="center" wrapText="1"/>
    </xf>
    <xf numFmtId="0" fontId="23" fillId="0" borderId="0" xfId="9" applyFont="1" applyFill="1" applyBorder="1" applyAlignment="1">
      <alignment horizontal="center" vertical="center" textRotation="90"/>
    </xf>
    <xf numFmtId="166" fontId="23" fillId="0" borderId="0" xfId="9" applyNumberFormat="1" applyFont="1" applyFill="1" applyBorder="1" applyAlignment="1">
      <alignment horizontal="center" vertical="center"/>
    </xf>
    <xf numFmtId="167" fontId="23" fillId="0" borderId="0" xfId="13" applyNumberFormat="1" applyFont="1" applyAlignment="1">
      <alignment horizontal="center" vertical="center"/>
    </xf>
    <xf numFmtId="166" fontId="23" fillId="0" borderId="0" xfId="0" applyNumberFormat="1" applyFont="1" applyAlignment="1">
      <alignment horizontal="center" vertical="center"/>
    </xf>
    <xf numFmtId="167" fontId="23" fillId="0" borderId="0" xfId="14" applyNumberFormat="1" applyFont="1" applyAlignment="1">
      <alignment horizontal="center" vertical="center"/>
    </xf>
    <xf numFmtId="0" fontId="23" fillId="0" borderId="0" xfId="9" applyFont="1" applyFill="1" applyAlignment="1">
      <alignment horizontal="center" vertical="center"/>
    </xf>
    <xf numFmtId="49" fontId="23" fillId="0" borderId="0" xfId="6" applyNumberFormat="1" applyFont="1" applyFill="1" applyAlignment="1">
      <alignment horizontal="center" vertical="center" wrapText="1"/>
    </xf>
    <xf numFmtId="0" fontId="23" fillId="0" borderId="0" xfId="6" applyFont="1" applyFill="1" applyAlignment="1">
      <alignment horizontal="left" vertical="center" wrapText="1"/>
    </xf>
    <xf numFmtId="0" fontId="23" fillId="0" borderId="0" xfId="6" applyFont="1" applyFill="1" applyAlignment="1">
      <alignment horizontal="center" vertical="center" textRotation="90"/>
    </xf>
    <xf numFmtId="167" fontId="23" fillId="0" borderId="0" xfId="6" applyNumberFormat="1" applyFont="1" applyFill="1" applyAlignment="1">
      <alignment horizontal="center" vertical="center"/>
    </xf>
    <xf numFmtId="167" fontId="23" fillId="0" borderId="0" xfId="15" applyNumberFormat="1" applyFont="1" applyFill="1" applyAlignment="1">
      <alignment horizontal="center" vertical="center"/>
    </xf>
    <xf numFmtId="0" fontId="23" fillId="0" borderId="0" xfId="9" applyFont="1" applyFill="1" applyAlignment="1">
      <alignment horizontal="left" vertical="center" wrapText="1"/>
    </xf>
    <xf numFmtId="49" fontId="23" fillId="0" borderId="0" xfId="6" applyNumberFormat="1" applyFont="1" applyFill="1" applyAlignment="1">
      <alignment horizontal="center" vertical="center"/>
    </xf>
    <xf numFmtId="0" fontId="23" fillId="0" borderId="0" xfId="6" applyFont="1" applyFill="1" applyAlignment="1">
      <alignment horizontal="center" vertical="center"/>
    </xf>
    <xf numFmtId="167" fontId="23" fillId="0" borderId="0" xfId="16" applyNumberFormat="1" applyFont="1" applyFill="1" applyAlignment="1">
      <alignment horizontal="center" vertical="center"/>
    </xf>
    <xf numFmtId="49" fontId="23" fillId="0" borderId="0" xfId="6" applyNumberFormat="1" applyFont="1" applyAlignment="1">
      <alignment horizontal="center" vertical="center"/>
    </xf>
    <xf numFmtId="167" fontId="23" fillId="0" borderId="0" xfId="17" applyNumberFormat="1" applyFont="1" applyFill="1" applyAlignment="1">
      <alignment horizontal="center" vertical="center"/>
    </xf>
    <xf numFmtId="2" fontId="23" fillId="0" borderId="0" xfId="9" applyNumberFormat="1" applyFont="1" applyFill="1" applyBorder="1" applyAlignment="1">
      <alignment horizontal="center" vertical="center"/>
    </xf>
    <xf numFmtId="166" fontId="30" fillId="0" borderId="0" xfId="9" applyNumberFormat="1" applyFont="1" applyFill="1" applyBorder="1" applyAlignment="1">
      <alignment horizontal="center" vertical="center"/>
    </xf>
    <xf numFmtId="167" fontId="23" fillId="0" borderId="0" xfId="18" applyNumberFormat="1" applyFont="1" applyFill="1" applyAlignment="1">
      <alignment horizontal="center" vertical="center"/>
    </xf>
    <xf numFmtId="0" fontId="34" fillId="0" borderId="0" xfId="0" applyFont="1"/>
    <xf numFmtId="0" fontId="35" fillId="0" borderId="0" xfId="0" applyFont="1"/>
    <xf numFmtId="167" fontId="33" fillId="0" borderId="0" xfId="0" applyNumberFormat="1" applyFont="1" applyAlignment="1">
      <alignment horizontal="center"/>
    </xf>
    <xf numFmtId="0" fontId="33" fillId="0" borderId="0" xfId="0" applyFont="1" applyAlignment="1">
      <alignment horizontal="center"/>
    </xf>
    <xf numFmtId="9" fontId="33" fillId="0" borderId="0" xfId="0" applyNumberFormat="1" applyFont="1" applyAlignment="1">
      <alignment horizontal="left" vertical="top"/>
    </xf>
    <xf numFmtId="167" fontId="26" fillId="0" borderId="0" xfId="9" applyNumberFormat="1" applyFont="1" applyFill="1" applyAlignment="1">
      <alignment horizontal="center" vertical="center"/>
    </xf>
    <xf numFmtId="49" fontId="23" fillId="0" borderId="3" xfId="8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left" vertical="top" wrapText="1"/>
    </xf>
    <xf numFmtId="0" fontId="33" fillId="0" borderId="0" xfId="0" applyFont="1" applyAlignment="1">
      <alignment horizontal="left" vertical="center"/>
    </xf>
    <xf numFmtId="17" fontId="33" fillId="0" borderId="0" xfId="0" applyNumberFormat="1" applyFont="1"/>
    <xf numFmtId="167" fontId="33" fillId="0" borderId="0" xfId="0" applyNumberFormat="1" applyFont="1" applyAlignment="1">
      <alignment horizontal="center" vertical="center"/>
    </xf>
    <xf numFmtId="0" fontId="33" fillId="0" borderId="0" xfId="0" applyFont="1" applyAlignment="1">
      <alignment vertical="center"/>
    </xf>
    <xf numFmtId="167" fontId="33" fillId="0" borderId="0" xfId="0" applyNumberFormat="1" applyFont="1"/>
    <xf numFmtId="2" fontId="23" fillId="0" borderId="0" xfId="0" applyNumberFormat="1" applyFont="1" applyAlignment="1">
      <alignment horizontal="center" vertical="center"/>
    </xf>
    <xf numFmtId="166" fontId="23" fillId="0" borderId="0" xfId="0" applyNumberFormat="1" applyFont="1" applyFill="1" applyAlignment="1">
      <alignment horizontal="center" vertical="center"/>
    </xf>
    <xf numFmtId="49" fontId="23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2" fontId="23" fillId="0" borderId="0" xfId="0" applyNumberFormat="1" applyFont="1" applyAlignment="1">
      <alignment horizontal="left" vertical="center" wrapText="1"/>
    </xf>
    <xf numFmtId="167" fontId="35" fillId="0" borderId="0" xfId="0" applyNumberFormat="1" applyFont="1" applyAlignment="1">
      <alignment horizontal="center"/>
    </xf>
    <xf numFmtId="49" fontId="23" fillId="0" borderId="0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 textRotation="90"/>
    </xf>
    <xf numFmtId="0" fontId="23" fillId="0" borderId="0" xfId="0" applyFont="1" applyFill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49" fontId="23" fillId="0" borderId="0" xfId="0" applyNumberFormat="1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167" fontId="34" fillId="0" borderId="0" xfId="0" applyNumberFormat="1" applyFont="1"/>
    <xf numFmtId="0" fontId="23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vertical="center" wrapText="1"/>
    </xf>
    <xf numFmtId="167" fontId="23" fillId="0" borderId="0" xfId="0" applyNumberFormat="1" applyFont="1" applyBorder="1" applyAlignment="1">
      <alignment horizontal="center" vertical="center" wrapText="1"/>
    </xf>
    <xf numFmtId="166" fontId="23" fillId="0" borderId="0" xfId="0" applyNumberFormat="1" applyFont="1" applyBorder="1" applyAlignment="1">
      <alignment horizontal="center" vertical="center" wrapText="1"/>
    </xf>
    <xf numFmtId="0" fontId="23" fillId="0" borderId="0" xfId="0" applyNumberFormat="1" applyFont="1" applyBorder="1" applyAlignment="1">
      <alignment horizontal="center" vertical="center" wrapText="1"/>
    </xf>
    <xf numFmtId="0" fontId="23" fillId="0" borderId="0" xfId="0" applyNumberFormat="1" applyFont="1" applyBorder="1" applyAlignment="1">
      <alignment horizontal="left" vertical="center" wrapText="1"/>
    </xf>
    <xf numFmtId="0" fontId="23" fillId="0" borderId="0" xfId="0" applyNumberFormat="1" applyFont="1" applyBorder="1" applyAlignment="1">
      <alignment horizontal="center" vertical="center"/>
    </xf>
    <xf numFmtId="167" fontId="23" fillId="0" borderId="0" xfId="0" applyNumberFormat="1" applyFont="1" applyBorder="1" applyAlignment="1">
      <alignment horizontal="center" vertical="center"/>
    </xf>
    <xf numFmtId="166" fontId="23" fillId="0" borderId="0" xfId="0" applyNumberFormat="1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 wrapText="1"/>
    </xf>
    <xf numFmtId="0" fontId="36" fillId="0" borderId="0" xfId="0" applyFont="1" applyBorder="1" applyAlignment="1">
      <alignment vertical="center" wrapText="1"/>
    </xf>
    <xf numFmtId="167" fontId="36" fillId="0" borderId="0" xfId="0" applyNumberFormat="1" applyFont="1" applyBorder="1" applyAlignment="1">
      <alignment horizontal="center" vertical="center" wrapText="1"/>
    </xf>
    <xf numFmtId="166" fontId="36" fillId="0" borderId="0" xfId="0" applyNumberFormat="1" applyFont="1" applyBorder="1" applyAlignment="1">
      <alignment horizontal="center" vertical="center" wrapText="1"/>
    </xf>
    <xf numFmtId="167" fontId="36" fillId="0" borderId="0" xfId="0" applyNumberFormat="1" applyFont="1" applyFill="1" applyBorder="1" applyAlignment="1">
      <alignment horizontal="right" vertical="center"/>
    </xf>
    <xf numFmtId="0" fontId="36" fillId="0" borderId="0" xfId="0" applyNumberFormat="1" applyFont="1" applyBorder="1" applyAlignment="1">
      <alignment horizontal="center" vertical="center" wrapText="1"/>
    </xf>
    <xf numFmtId="0" fontId="36" fillId="0" borderId="0" xfId="0" applyNumberFormat="1" applyFont="1" applyBorder="1" applyAlignment="1">
      <alignment horizontal="left" vertical="center" wrapText="1"/>
    </xf>
    <xf numFmtId="0" fontId="36" fillId="0" borderId="0" xfId="0" applyNumberFormat="1" applyFont="1" applyBorder="1" applyAlignment="1">
      <alignment horizontal="center" vertical="center"/>
    </xf>
    <xf numFmtId="167" fontId="36" fillId="0" borderId="0" xfId="0" applyNumberFormat="1" applyFont="1" applyBorder="1" applyAlignment="1">
      <alignment horizontal="center" vertical="center"/>
    </xf>
    <xf numFmtId="166" fontId="36" fillId="0" borderId="0" xfId="0" applyNumberFormat="1" applyFont="1" applyBorder="1" applyAlignment="1">
      <alignment horizontal="center" vertical="center"/>
    </xf>
    <xf numFmtId="167" fontId="36" fillId="0" borderId="0" xfId="0" applyNumberFormat="1" applyFont="1" applyFill="1" applyAlignment="1">
      <alignment horizontal="center" vertical="center"/>
    </xf>
    <xf numFmtId="16" fontId="36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left" vertical="center" wrapText="1"/>
    </xf>
    <xf numFmtId="0" fontId="36" fillId="0" borderId="0" xfId="0" applyFont="1" applyAlignment="1">
      <alignment horizontal="center" vertical="center"/>
    </xf>
    <xf numFmtId="167" fontId="36" fillId="0" borderId="0" xfId="0" applyNumberFormat="1" applyFont="1" applyAlignment="1">
      <alignment horizontal="center" vertical="center"/>
    </xf>
    <xf numFmtId="166" fontId="36" fillId="0" borderId="0" xfId="0" applyNumberFormat="1" applyFont="1" applyAlignment="1">
      <alignment horizontal="center" vertical="center"/>
    </xf>
    <xf numFmtId="167" fontId="36" fillId="0" borderId="0" xfId="0" applyNumberFormat="1" applyFont="1" applyFill="1" applyAlignment="1">
      <alignment horizontal="right" vertical="center"/>
    </xf>
    <xf numFmtId="0" fontId="34" fillId="0" borderId="0" xfId="0" applyFont="1" applyAlignment="1">
      <alignment horizontal="center"/>
    </xf>
    <xf numFmtId="0" fontId="23" fillId="0" borderId="0" xfId="3" applyFont="1" applyFill="1" applyAlignment="1">
      <alignment horizontal="center" vertical="center"/>
    </xf>
    <xf numFmtId="0" fontId="23" fillId="0" borderId="0" xfId="3" applyFont="1" applyAlignment="1">
      <alignment horizontal="center" vertical="center"/>
    </xf>
    <xf numFmtId="0" fontId="23" fillId="0" borderId="0" xfId="3" applyFont="1" applyAlignment="1">
      <alignment horizontal="left" vertical="center" wrapText="1"/>
    </xf>
    <xf numFmtId="0" fontId="23" fillId="0" borderId="0" xfId="3" applyFont="1" applyAlignment="1">
      <alignment horizontal="center" vertical="center" wrapText="1"/>
    </xf>
    <xf numFmtId="167" fontId="23" fillId="0" borderId="0" xfId="3" applyNumberFormat="1" applyFont="1" applyAlignment="1">
      <alignment horizontal="center" vertical="center"/>
    </xf>
    <xf numFmtId="167" fontId="23" fillId="0" borderId="0" xfId="3" applyNumberFormat="1" applyFont="1" applyFill="1" applyAlignment="1">
      <alignment horizontal="center" vertical="center"/>
    </xf>
    <xf numFmtId="167" fontId="23" fillId="0" borderId="0" xfId="3" applyNumberFormat="1" applyFont="1" applyFill="1" applyAlignment="1">
      <alignment horizontal="right" vertical="center"/>
    </xf>
    <xf numFmtId="167" fontId="37" fillId="0" borderId="0" xfId="3" applyNumberFormat="1" applyFont="1" applyAlignment="1">
      <alignment horizontal="center" vertical="center"/>
    </xf>
    <xf numFmtId="167" fontId="23" fillId="0" borderId="0" xfId="3" applyNumberFormat="1" applyFont="1" applyFill="1" applyBorder="1" applyAlignment="1">
      <alignment horizontal="right" vertical="center"/>
    </xf>
    <xf numFmtId="0" fontId="36" fillId="0" borderId="0" xfId="3" applyFont="1" applyAlignment="1">
      <alignment horizontal="center" vertical="center"/>
    </xf>
    <xf numFmtId="0" fontId="36" fillId="0" borderId="0" xfId="3" applyFont="1" applyAlignment="1">
      <alignment vertical="center" wrapText="1"/>
    </xf>
    <xf numFmtId="167" fontId="36" fillId="0" borderId="0" xfId="3" applyNumberFormat="1" applyFont="1" applyFill="1" applyAlignment="1">
      <alignment horizontal="center" vertical="center"/>
    </xf>
    <xf numFmtId="0" fontId="36" fillId="0" borderId="0" xfId="3" applyFont="1" applyAlignment="1">
      <alignment horizontal="left" vertical="center" wrapText="1"/>
    </xf>
    <xf numFmtId="0" fontId="39" fillId="0" borderId="1" xfId="19" applyFont="1" applyFill="1" applyBorder="1" applyAlignment="1" applyProtection="1">
      <alignment horizontal="left" vertical="center" wrapText="1"/>
      <protection hidden="1"/>
    </xf>
    <xf numFmtId="0" fontId="23" fillId="0" borderId="0" xfId="3" applyFont="1" applyAlignment="1">
      <alignment vertical="center" wrapText="1"/>
    </xf>
    <xf numFmtId="0" fontId="23" fillId="0" borderId="0" xfId="3" applyFont="1" applyAlignment="1">
      <alignment wrapText="1"/>
    </xf>
    <xf numFmtId="0" fontId="23" fillId="0" borderId="0" xfId="20" applyFont="1" applyAlignment="1">
      <alignment horizontal="center" vertical="center"/>
    </xf>
    <xf numFmtId="0" fontId="23" fillId="0" borderId="0" xfId="20" applyFont="1" applyAlignment="1">
      <alignment horizontal="left" vertical="center" wrapText="1"/>
    </xf>
    <xf numFmtId="167" fontId="23" fillId="0" borderId="0" xfId="20" applyNumberFormat="1" applyFont="1" applyAlignment="1">
      <alignment horizontal="center" vertical="center"/>
    </xf>
    <xf numFmtId="13" fontId="23" fillId="0" borderId="0" xfId="20" applyNumberFormat="1" applyFont="1" applyAlignment="1">
      <alignment horizontal="center" vertical="center"/>
    </xf>
    <xf numFmtId="167" fontId="23" fillId="0" borderId="0" xfId="20" applyNumberFormat="1" applyFont="1" applyFill="1" applyAlignment="1">
      <alignment horizontal="center" vertical="center"/>
    </xf>
    <xf numFmtId="167" fontId="23" fillId="0" borderId="0" xfId="20" applyNumberFormat="1" applyFont="1" applyFill="1" applyAlignment="1">
      <alignment horizontal="right" vertical="center"/>
    </xf>
    <xf numFmtId="0" fontId="23" fillId="0" borderId="0" xfId="20" applyFont="1" applyAlignment="1">
      <alignment horizontal="center" vertical="center" wrapText="1"/>
    </xf>
    <xf numFmtId="0" fontId="36" fillId="0" borderId="0" xfId="20" applyFont="1" applyAlignment="1">
      <alignment horizontal="center" vertical="center"/>
    </xf>
    <xf numFmtId="167" fontId="36" fillId="0" borderId="0" xfId="20" applyNumberFormat="1" applyFont="1" applyAlignment="1">
      <alignment horizontal="center" vertical="center"/>
    </xf>
    <xf numFmtId="167" fontId="23" fillId="0" borderId="0" xfId="3" applyNumberFormat="1" applyFont="1" applyFill="1" applyBorder="1" applyAlignment="1">
      <alignment horizontal="center" vertical="center"/>
    </xf>
    <xf numFmtId="167" fontId="26" fillId="0" borderId="0" xfId="0" applyNumberFormat="1" applyFont="1" applyFill="1" applyAlignment="1">
      <alignment horizontal="center" vertical="center"/>
    </xf>
    <xf numFmtId="164" fontId="23" fillId="0" borderId="0" xfId="0" applyNumberFormat="1" applyFont="1" applyAlignment="1">
      <alignment horizontal="center" vertical="center"/>
    </xf>
    <xf numFmtId="2" fontId="23" fillId="0" borderId="0" xfId="0" applyNumberFormat="1" applyFont="1" applyFill="1" applyAlignment="1">
      <alignment horizontal="left" vertical="center" wrapText="1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vertical="center"/>
    </xf>
    <xf numFmtId="0" fontId="12" fillId="0" borderId="1" xfId="3" applyFont="1" applyBorder="1" applyAlignment="1">
      <alignment horizontal="center" vertical="center"/>
    </xf>
    <xf numFmtId="2" fontId="12" fillId="0" borderId="1" xfId="3" applyNumberFormat="1" applyFont="1" applyFill="1" applyBorder="1" applyAlignment="1">
      <alignment horizontal="center" vertical="center"/>
    </xf>
    <xf numFmtId="165" fontId="12" fillId="0" borderId="1" xfId="3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/>
    </xf>
    <xf numFmtId="0" fontId="12" fillId="0" borderId="1" xfId="3" applyFont="1" applyBorder="1" applyAlignment="1">
      <alignment horizontal="center" vertical="center" wrapText="1"/>
    </xf>
    <xf numFmtId="164" fontId="12" fillId="0" borderId="1" xfId="3" applyNumberFormat="1" applyFont="1" applyFill="1" applyBorder="1" applyAlignment="1">
      <alignment horizontal="center" vertical="center"/>
    </xf>
    <xf numFmtId="0" fontId="12" fillId="0" borderId="1" xfId="3" applyNumberFormat="1" applyFont="1" applyBorder="1" applyAlignment="1">
      <alignment horizontal="center" vertical="center"/>
    </xf>
    <xf numFmtId="0" fontId="12" fillId="0" borderId="1" xfId="3" applyNumberFormat="1" applyFont="1" applyFill="1" applyBorder="1" applyAlignment="1">
      <alignment horizontal="center" vertical="center"/>
    </xf>
    <xf numFmtId="167" fontId="23" fillId="0" borderId="0" xfId="0" applyNumberFormat="1" applyFont="1" applyFill="1" applyBorder="1" applyAlignment="1">
      <alignment horizontal="center" vertical="center"/>
    </xf>
    <xf numFmtId="167" fontId="23" fillId="0" borderId="0" xfId="0" applyNumberFormat="1" applyFont="1" applyFill="1" applyAlignment="1">
      <alignment horizontal="center" vertical="center"/>
    </xf>
    <xf numFmtId="2" fontId="32" fillId="0" borderId="0" xfId="0" applyNumberFormat="1" applyFont="1" applyBorder="1" applyAlignment="1">
      <alignment horizontal="center" vertical="center"/>
    </xf>
    <xf numFmtId="167" fontId="23" fillId="0" borderId="0" xfId="0" applyNumberFormat="1" applyFont="1" applyFill="1" applyAlignment="1">
      <alignment horizontal="right" vertical="center"/>
    </xf>
    <xf numFmtId="167" fontId="32" fillId="0" borderId="0" xfId="0" applyNumberFormat="1" applyFont="1" applyAlignment="1">
      <alignment horizontal="right" vertical="center"/>
    </xf>
    <xf numFmtId="0" fontId="12" fillId="0" borderId="3" xfId="3" applyFont="1" applyBorder="1" applyAlignment="1">
      <alignment horizontal="center" vertical="center"/>
    </xf>
    <xf numFmtId="0" fontId="12" fillId="0" borderId="6" xfId="3" applyFont="1" applyBorder="1" applyAlignment="1">
      <alignment horizontal="center" vertical="center"/>
    </xf>
    <xf numFmtId="0" fontId="12" fillId="0" borderId="4" xfId="3" applyFont="1" applyBorder="1" applyAlignment="1">
      <alignment horizontal="center" vertical="center"/>
    </xf>
    <xf numFmtId="0" fontId="12" fillId="0" borderId="5" xfId="3" applyFont="1" applyBorder="1" applyAlignment="1">
      <alignment horizontal="center" vertical="center"/>
    </xf>
    <xf numFmtId="0" fontId="12" fillId="0" borderId="3" xfId="3" applyFont="1" applyBorder="1" applyAlignment="1">
      <alignment horizontal="center" vertical="center" wrapText="1"/>
    </xf>
    <xf numFmtId="0" fontId="12" fillId="0" borderId="6" xfId="3" applyFont="1" applyBorder="1" applyAlignment="1">
      <alignment horizontal="center" vertical="center" wrapText="1"/>
    </xf>
    <xf numFmtId="2" fontId="23" fillId="0" borderId="0" xfId="0" applyNumberFormat="1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2" fontId="11" fillId="0" borderId="0" xfId="3" applyNumberFormat="1" applyFont="1" applyFill="1" applyAlignment="1">
      <alignment horizontal="center" vertical="center"/>
    </xf>
    <xf numFmtId="0" fontId="3" fillId="0" borderId="2" xfId="3" applyFont="1" applyBorder="1" applyAlignment="1">
      <alignment horizontal="center" wrapText="1"/>
    </xf>
    <xf numFmtId="167" fontId="6" fillId="0" borderId="2" xfId="3" applyNumberFormat="1" applyFont="1" applyBorder="1" applyAlignment="1">
      <alignment horizontal="center" vertical="center"/>
    </xf>
    <xf numFmtId="2" fontId="3" fillId="0" borderId="0" xfId="3" applyNumberFormat="1" applyFont="1" applyFill="1" applyAlignment="1">
      <alignment horizontal="center" vertical="center"/>
    </xf>
    <xf numFmtId="0" fontId="12" fillId="0" borderId="3" xfId="3" applyFont="1" applyFill="1" applyBorder="1" applyAlignment="1">
      <alignment horizontal="center" vertical="center" wrapText="1"/>
    </xf>
    <xf numFmtId="0" fontId="12" fillId="0" borderId="6" xfId="3" applyFont="1" applyFill="1" applyBorder="1" applyAlignment="1">
      <alignment horizontal="center" vertical="center" wrapText="1"/>
    </xf>
    <xf numFmtId="167" fontId="32" fillId="0" borderId="0" xfId="0" applyNumberFormat="1" applyFont="1" applyAlignment="1">
      <alignment horizontal="center" vertical="center"/>
    </xf>
    <xf numFmtId="0" fontId="12" fillId="0" borderId="7" xfId="3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 wrapText="1"/>
    </xf>
    <xf numFmtId="49" fontId="23" fillId="0" borderId="6" xfId="0" applyNumberFormat="1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right" vertical="center"/>
    </xf>
    <xf numFmtId="0" fontId="23" fillId="0" borderId="7" xfId="0" applyFont="1" applyBorder="1" applyAlignment="1">
      <alignment horizontal="right" vertical="center"/>
    </xf>
    <xf numFmtId="0" fontId="23" fillId="0" borderId="5" xfId="0" applyFont="1" applyBorder="1" applyAlignment="1">
      <alignment horizontal="right" vertical="center"/>
    </xf>
    <xf numFmtId="0" fontId="23" fillId="0" borderId="1" xfId="0" applyFont="1" applyBorder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3" fillId="0" borderId="4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167" fontId="27" fillId="0" borderId="0" xfId="0" applyNumberFormat="1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167" fontId="27" fillId="0" borderId="0" xfId="0" applyNumberFormat="1" applyFont="1" applyAlignment="1">
      <alignment horizontal="center" vertical="center" wrapText="1"/>
    </xf>
    <xf numFmtId="0" fontId="3" fillId="0" borderId="4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3" xfId="3" applyFont="1" applyBorder="1" applyAlignment="1">
      <alignment horizontal="center" vertical="center" wrapText="1"/>
    </xf>
    <xf numFmtId="0" fontId="3" fillId="0" borderId="6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/>
    </xf>
    <xf numFmtId="0" fontId="3" fillId="0" borderId="6" xfId="3" applyFont="1" applyBorder="1" applyAlignment="1">
      <alignment horizontal="center" vertical="center"/>
    </xf>
    <xf numFmtId="0" fontId="3" fillId="0" borderId="7" xfId="3" applyFont="1" applyBorder="1" applyAlignment="1">
      <alignment horizontal="center" vertical="center"/>
    </xf>
    <xf numFmtId="0" fontId="3" fillId="0" borderId="3" xfId="3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</cellXfs>
  <cellStyles count="21">
    <cellStyle name="edRascen" xfId="2"/>
    <cellStyle name="Normal" xfId="0" builtinId="0"/>
    <cellStyle name="Normal 10" xfId="16"/>
    <cellStyle name="Normal 11" xfId="17"/>
    <cellStyle name="Normal 12" xfId="18"/>
    <cellStyle name="Normal 2" xfId="1"/>
    <cellStyle name="Normal 2 2" xfId="6"/>
    <cellStyle name="Normal 2 3" xfId="5"/>
    <cellStyle name="Normal 2 4" xfId="9"/>
    <cellStyle name="Normal 3" xfId="7"/>
    <cellStyle name="Normal 4" xfId="10"/>
    <cellStyle name="Normal 5" xfId="11"/>
    <cellStyle name="Normal 6" xfId="12"/>
    <cellStyle name="Normal 7" xfId="13"/>
    <cellStyle name="Normal 8" xfId="14"/>
    <cellStyle name="Normal 9" xfId="15"/>
    <cellStyle name="Normal_Kcakaruici odapochutyun" xfId="20"/>
    <cellStyle name="Normal_naxahashiv" xfId="3"/>
    <cellStyle name="Normal_sary jramatakararum" xfId="4"/>
    <cellStyle name="Normal_SHIN-2" xfId="8"/>
    <cellStyle name="Обычный 3 2" xfId="1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96"/>
  <sheetViews>
    <sheetView tabSelected="1" topLeftCell="A118" workbookViewId="0">
      <selection activeCell="J134" sqref="J134"/>
    </sheetView>
  </sheetViews>
  <sheetFormatPr defaultRowHeight="15"/>
  <cols>
    <col min="1" max="1" width="5.42578125" style="74" customWidth="1"/>
    <col min="3" max="3" width="35.85546875" customWidth="1"/>
    <col min="4" max="4" width="14.140625" customWidth="1"/>
    <col min="5" max="5" width="13.140625" customWidth="1"/>
    <col min="6" max="6" width="15.42578125" customWidth="1"/>
    <col min="7" max="7" width="13.42578125" customWidth="1"/>
    <col min="8" max="8" width="15.28515625" customWidth="1"/>
    <col min="9" max="9" width="10.42578125" customWidth="1"/>
    <col min="10" max="10" width="16.140625" customWidth="1"/>
    <col min="12" max="12" width="11.5703125" customWidth="1"/>
    <col min="13" max="13" width="11.42578125" customWidth="1"/>
    <col min="14" max="14" width="9.7109375" customWidth="1"/>
    <col min="15" max="15" width="10" customWidth="1"/>
    <col min="16" max="16" width="13.28515625" style="92" customWidth="1"/>
    <col min="17" max="17" width="4.42578125" customWidth="1"/>
    <col min="18" max="18" width="10" bestFit="1" customWidth="1"/>
  </cols>
  <sheetData>
    <row r="1" spans="1:17">
      <c r="A1" s="363" t="s">
        <v>74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  <c r="O1" s="363"/>
      <c r="P1" s="363"/>
    </row>
    <row r="2" spans="1:17">
      <c r="A2" s="109"/>
      <c r="B2" s="1"/>
      <c r="C2" s="1"/>
      <c r="D2" s="1"/>
      <c r="E2" s="1"/>
      <c r="F2" s="364" t="s">
        <v>73</v>
      </c>
      <c r="G2" s="364"/>
      <c r="H2" s="364"/>
      <c r="I2" s="364"/>
      <c r="J2" s="364"/>
      <c r="K2" s="1"/>
      <c r="L2" s="1"/>
      <c r="M2" s="1"/>
      <c r="N2" s="1"/>
      <c r="O2" s="3"/>
      <c r="P2" s="2"/>
    </row>
    <row r="3" spans="1:17">
      <c r="A3" s="109"/>
      <c r="B3" s="1"/>
      <c r="C3" s="1"/>
      <c r="D3" s="1"/>
      <c r="E3" s="1"/>
      <c r="F3" s="1"/>
      <c r="G3" s="3"/>
      <c r="H3" s="1"/>
      <c r="I3" s="4"/>
      <c r="J3" s="1"/>
      <c r="K3" s="1"/>
      <c r="L3" s="1"/>
      <c r="M3" s="1"/>
      <c r="N3" s="1"/>
      <c r="O3" s="3"/>
      <c r="P3" s="2"/>
    </row>
    <row r="4" spans="1:17">
      <c r="A4" s="109"/>
      <c r="B4" s="1"/>
      <c r="C4" s="1"/>
      <c r="D4" s="1"/>
      <c r="E4" s="1"/>
      <c r="F4" s="1"/>
      <c r="G4" s="3"/>
      <c r="H4" s="1"/>
      <c r="I4" s="4"/>
      <c r="J4" s="365" t="s">
        <v>0</v>
      </c>
      <c r="K4" s="365"/>
      <c r="L4" s="365"/>
      <c r="M4" s="366">
        <v>28047.27</v>
      </c>
      <c r="N4" s="366"/>
      <c r="O4" s="367" t="s">
        <v>1</v>
      </c>
      <c r="P4" s="367"/>
    </row>
    <row r="5" spans="1:17">
      <c r="A5" s="356" t="s">
        <v>2</v>
      </c>
      <c r="B5" s="360" t="s">
        <v>3</v>
      </c>
      <c r="C5" s="368" t="s">
        <v>4</v>
      </c>
      <c r="D5" s="356" t="s">
        <v>5</v>
      </c>
      <c r="E5" s="356" t="s">
        <v>6</v>
      </c>
      <c r="F5" s="358" t="s">
        <v>7</v>
      </c>
      <c r="G5" s="359"/>
      <c r="H5" s="358" t="s">
        <v>8</v>
      </c>
      <c r="I5" s="359"/>
      <c r="J5" s="360" t="s">
        <v>9</v>
      </c>
      <c r="K5" s="356" t="s">
        <v>5</v>
      </c>
      <c r="L5" s="358" t="s">
        <v>10</v>
      </c>
      <c r="M5" s="371"/>
      <c r="N5" s="371"/>
      <c r="O5" s="371"/>
      <c r="P5" s="359"/>
    </row>
    <row r="6" spans="1:17" ht="28.5">
      <c r="A6" s="357"/>
      <c r="B6" s="361"/>
      <c r="C6" s="369"/>
      <c r="D6" s="357"/>
      <c r="E6" s="357"/>
      <c r="F6" s="343" t="s">
        <v>11</v>
      </c>
      <c r="G6" s="344" t="s">
        <v>12</v>
      </c>
      <c r="H6" s="343" t="s">
        <v>11</v>
      </c>
      <c r="I6" s="345" t="s">
        <v>12</v>
      </c>
      <c r="J6" s="361"/>
      <c r="K6" s="357"/>
      <c r="L6" s="343" t="s">
        <v>13</v>
      </c>
      <c r="M6" s="346" t="s">
        <v>14</v>
      </c>
      <c r="N6" s="347" t="s">
        <v>15</v>
      </c>
      <c r="O6" s="344" t="s">
        <v>16</v>
      </c>
      <c r="P6" s="348" t="s">
        <v>17</v>
      </c>
    </row>
    <row r="7" spans="1:17">
      <c r="A7" s="349">
        <v>1</v>
      </c>
      <c r="B7" s="349">
        <v>2</v>
      </c>
      <c r="C7" s="350">
        <v>3</v>
      </c>
      <c r="D7" s="349">
        <v>4</v>
      </c>
      <c r="E7" s="349">
        <v>5</v>
      </c>
      <c r="F7" s="349">
        <v>6</v>
      </c>
      <c r="G7" s="350">
        <v>7</v>
      </c>
      <c r="H7" s="349">
        <v>8</v>
      </c>
      <c r="I7" s="350">
        <v>9</v>
      </c>
      <c r="J7" s="349">
        <v>10</v>
      </c>
      <c r="K7" s="349">
        <v>11</v>
      </c>
      <c r="L7" s="349">
        <v>12</v>
      </c>
      <c r="M7" s="350">
        <v>13</v>
      </c>
      <c r="N7" s="349">
        <v>14</v>
      </c>
      <c r="O7" s="350">
        <v>15</v>
      </c>
      <c r="P7" s="350">
        <v>16</v>
      </c>
    </row>
    <row r="8" spans="1:17">
      <c r="A8" s="65"/>
      <c r="B8" s="65"/>
      <c r="C8" s="11"/>
      <c r="D8" s="65"/>
      <c r="E8" s="65"/>
      <c r="F8" s="81" t="s">
        <v>72</v>
      </c>
      <c r="G8" s="11"/>
      <c r="H8" s="65"/>
      <c r="I8" s="11"/>
      <c r="J8" s="65"/>
      <c r="K8" s="65"/>
      <c r="L8" s="65"/>
      <c r="M8" s="11"/>
      <c r="N8" s="65"/>
      <c r="O8" s="11"/>
      <c r="P8" s="11"/>
      <c r="Q8" s="82"/>
    </row>
    <row r="9" spans="1:17" ht="45.75" customHeight="1">
      <c r="A9" s="199">
        <v>1</v>
      </c>
      <c r="B9" s="200" t="s">
        <v>19</v>
      </c>
      <c r="C9" s="201" t="s">
        <v>20</v>
      </c>
      <c r="D9" s="202" t="s">
        <v>285</v>
      </c>
      <c r="E9" s="203">
        <v>2.65</v>
      </c>
      <c r="F9" s="204">
        <v>7.7</v>
      </c>
      <c r="G9" s="205">
        <f>+F9*2.1411</f>
        <v>16.486469999999997</v>
      </c>
      <c r="H9" s="205">
        <v>1.7</v>
      </c>
      <c r="I9" s="205">
        <f>+H9*2.85548</f>
        <v>4.8543159999999999</v>
      </c>
      <c r="J9" s="206"/>
      <c r="K9" s="207"/>
      <c r="L9" s="208"/>
      <c r="M9" s="205"/>
      <c r="N9" s="209"/>
      <c r="O9" s="205">
        <f>+(L9*N9)*1.132047+G9+I9</f>
        <v>21.340785999999998</v>
      </c>
      <c r="P9" s="205">
        <f>O9*E9</f>
        <v>56.553082899999993</v>
      </c>
      <c r="Q9" s="82"/>
    </row>
    <row r="10" spans="1:17" ht="15.75">
      <c r="A10" s="199"/>
      <c r="B10" s="210"/>
      <c r="C10" s="210"/>
      <c r="D10" s="202"/>
      <c r="E10" s="210"/>
      <c r="F10" s="204"/>
      <c r="G10" s="205"/>
      <c r="H10" s="205"/>
      <c r="I10" s="205"/>
      <c r="J10" s="206"/>
      <c r="K10" s="207"/>
      <c r="L10" s="208"/>
      <c r="M10" s="205"/>
      <c r="N10" s="209"/>
      <c r="O10" s="205"/>
      <c r="P10" s="205"/>
      <c r="Q10" s="82"/>
    </row>
    <row r="11" spans="1:17" ht="38.25" customHeight="1">
      <c r="A11" s="199">
        <v>2</v>
      </c>
      <c r="B11" s="200" t="s">
        <v>21</v>
      </c>
      <c r="C11" s="201" t="s">
        <v>22</v>
      </c>
      <c r="D11" s="202" t="s">
        <v>285</v>
      </c>
      <c r="E11" s="203">
        <v>2.65</v>
      </c>
      <c r="F11" s="204">
        <v>56.1</v>
      </c>
      <c r="G11" s="205">
        <f t="shared" ref="G11:G21" si="0">+F11*2.1411</f>
        <v>120.11570999999999</v>
      </c>
      <c r="H11" s="205">
        <v>10.3</v>
      </c>
      <c r="I11" s="205">
        <f t="shared" ref="I11:I21" si="1">+H11*2.85548</f>
        <v>29.411444000000003</v>
      </c>
      <c r="J11" s="206"/>
      <c r="K11" s="207"/>
      <c r="L11" s="208"/>
      <c r="M11" s="205"/>
      <c r="N11" s="209"/>
      <c r="O11" s="205">
        <f t="shared" ref="O11:O21" si="2">+(L11*N11)*1.132047+G11+I11</f>
        <v>149.527154</v>
      </c>
      <c r="P11" s="205">
        <f t="shared" ref="P11:P21" si="3">O11*E11</f>
        <v>396.24695809999997</v>
      </c>
      <c r="Q11" s="82"/>
    </row>
    <row r="12" spans="1:17">
      <c r="A12" s="199"/>
      <c r="B12" s="200"/>
      <c r="C12" s="201"/>
      <c r="D12" s="211"/>
      <c r="E12" s="212"/>
      <c r="F12" s="213"/>
      <c r="G12" s="205"/>
      <c r="H12" s="214"/>
      <c r="I12" s="205"/>
      <c r="J12" s="215"/>
      <c r="K12" s="216"/>
      <c r="L12" s="217"/>
      <c r="M12" s="205"/>
      <c r="N12" s="205"/>
      <c r="O12" s="205"/>
      <c r="P12" s="205"/>
      <c r="Q12" s="82"/>
    </row>
    <row r="13" spans="1:17" ht="30.75" customHeight="1">
      <c r="A13" s="199">
        <v>3</v>
      </c>
      <c r="B13" s="200" t="s">
        <v>23</v>
      </c>
      <c r="C13" s="201" t="s">
        <v>24</v>
      </c>
      <c r="D13" s="211" t="s">
        <v>25</v>
      </c>
      <c r="E13" s="203">
        <v>26</v>
      </c>
      <c r="F13" s="218">
        <v>0.45</v>
      </c>
      <c r="G13" s="205">
        <f t="shared" si="0"/>
        <v>0.96349499999999988</v>
      </c>
      <c r="H13" s="219"/>
      <c r="I13" s="205"/>
      <c r="J13" s="209"/>
      <c r="K13" s="209"/>
      <c r="L13" s="209"/>
      <c r="M13" s="205"/>
      <c r="N13" s="209"/>
      <c r="O13" s="205">
        <f t="shared" si="2"/>
        <v>0.96349499999999988</v>
      </c>
      <c r="P13" s="205">
        <f t="shared" si="3"/>
        <v>25.050869999999996</v>
      </c>
      <c r="Q13" s="82"/>
    </row>
    <row r="14" spans="1:17" ht="15.75">
      <c r="A14" s="199"/>
      <c r="B14" s="210"/>
      <c r="C14" s="210"/>
      <c r="D14" s="210"/>
      <c r="E14" s="210"/>
      <c r="F14" s="213"/>
      <c r="G14" s="205"/>
      <c r="H14" s="219"/>
      <c r="I14" s="205"/>
      <c r="J14" s="209"/>
      <c r="K14" s="209"/>
      <c r="L14" s="209"/>
      <c r="M14" s="205"/>
      <c r="N14" s="209"/>
      <c r="O14" s="205"/>
      <c r="P14" s="205"/>
      <c r="Q14" s="82"/>
    </row>
    <row r="15" spans="1:17" ht="30.75" customHeight="1">
      <c r="A15" s="199">
        <v>4</v>
      </c>
      <c r="B15" s="200" t="s">
        <v>26</v>
      </c>
      <c r="C15" s="201" t="s">
        <v>27</v>
      </c>
      <c r="D15" s="211" t="s">
        <v>25</v>
      </c>
      <c r="E15" s="203">
        <v>26</v>
      </c>
      <c r="F15" s="213"/>
      <c r="G15" s="205"/>
      <c r="H15" s="219">
        <v>0.55000000000000004</v>
      </c>
      <c r="I15" s="205">
        <f t="shared" si="1"/>
        <v>1.5705140000000002</v>
      </c>
      <c r="J15" s="220"/>
      <c r="K15" s="209"/>
      <c r="L15" s="209"/>
      <c r="M15" s="205"/>
      <c r="N15" s="209"/>
      <c r="O15" s="205">
        <f t="shared" si="2"/>
        <v>1.5705140000000002</v>
      </c>
      <c r="P15" s="205">
        <f t="shared" si="3"/>
        <v>40.833364000000003</v>
      </c>
      <c r="Q15" s="82"/>
    </row>
    <row r="16" spans="1:17" ht="15.75">
      <c r="A16" s="199"/>
      <c r="B16" s="210"/>
      <c r="C16" s="210"/>
      <c r="D16" s="211"/>
      <c r="E16" s="210"/>
      <c r="F16" s="213"/>
      <c r="G16" s="205"/>
      <c r="H16" s="219"/>
      <c r="I16" s="205"/>
      <c r="J16" s="209"/>
      <c r="K16" s="209"/>
      <c r="L16" s="209"/>
      <c r="M16" s="205"/>
      <c r="N16" s="209"/>
      <c r="O16" s="205"/>
      <c r="P16" s="205"/>
      <c r="Q16" s="82"/>
    </row>
    <row r="17" spans="1:17" ht="27.75" customHeight="1">
      <c r="A17" s="199">
        <v>5</v>
      </c>
      <c r="B17" s="200" t="s">
        <v>151</v>
      </c>
      <c r="C17" s="201" t="s">
        <v>28</v>
      </c>
      <c r="D17" s="211" t="s">
        <v>29</v>
      </c>
      <c r="E17" s="203">
        <v>1</v>
      </c>
      <c r="F17" s="221">
        <v>3.5</v>
      </c>
      <c r="G17" s="205">
        <f t="shared" si="0"/>
        <v>7.4938499999999992</v>
      </c>
      <c r="H17" s="219">
        <v>0.3</v>
      </c>
      <c r="I17" s="205">
        <f t="shared" si="1"/>
        <v>0.85664399999999996</v>
      </c>
      <c r="J17" s="222" t="s">
        <v>49</v>
      </c>
      <c r="K17" s="216" t="s">
        <v>286</v>
      </c>
      <c r="L17" s="217">
        <v>1.94</v>
      </c>
      <c r="M17" s="205">
        <f t="shared" ref="M17:M21" si="4">+L17*E17</f>
        <v>1.94</v>
      </c>
      <c r="N17" s="205">
        <v>23.8</v>
      </c>
      <c r="O17" s="205">
        <f t="shared" si="2"/>
        <v>60.619368084000001</v>
      </c>
      <c r="P17" s="205">
        <f t="shared" si="3"/>
        <v>60.619368084000001</v>
      </c>
      <c r="Q17" s="82"/>
    </row>
    <row r="18" spans="1:17" ht="18">
      <c r="A18" s="199"/>
      <c r="B18" s="210"/>
      <c r="C18" s="210"/>
      <c r="D18" s="210"/>
      <c r="E18" s="210"/>
      <c r="F18" s="213"/>
      <c r="G18" s="205"/>
      <c r="H18" s="219"/>
      <c r="I18" s="205"/>
      <c r="J18" s="222" t="s">
        <v>51</v>
      </c>
      <c r="K18" s="216" t="s">
        <v>287</v>
      </c>
      <c r="L18" s="217">
        <v>0.22</v>
      </c>
      <c r="M18" s="205">
        <f>+L18*E17</f>
        <v>0.22</v>
      </c>
      <c r="N18" s="205">
        <v>141.667</v>
      </c>
      <c r="O18" s="205">
        <f t="shared" si="2"/>
        <v>35.282214516780002</v>
      </c>
      <c r="P18" s="205">
        <f>O18*E17</f>
        <v>35.282214516780002</v>
      </c>
      <c r="Q18" s="82"/>
    </row>
    <row r="19" spans="1:17" ht="15.75">
      <c r="A19" s="199">
        <v>6</v>
      </c>
      <c r="B19" s="210"/>
      <c r="C19" s="223" t="s">
        <v>30</v>
      </c>
      <c r="D19" s="224" t="s">
        <v>29</v>
      </c>
      <c r="E19" s="203">
        <v>1</v>
      </c>
      <c r="F19" s="213"/>
      <c r="G19" s="205"/>
      <c r="H19" s="219"/>
      <c r="I19" s="205"/>
      <c r="J19" s="222" t="s">
        <v>30</v>
      </c>
      <c r="K19" s="225" t="s">
        <v>29</v>
      </c>
      <c r="L19" s="226">
        <v>1</v>
      </c>
      <c r="M19" s="205">
        <f t="shared" si="4"/>
        <v>1</v>
      </c>
      <c r="N19" s="205">
        <v>1</v>
      </c>
      <c r="O19" s="205">
        <f t="shared" si="2"/>
        <v>1.132047</v>
      </c>
      <c r="P19" s="205">
        <f t="shared" si="3"/>
        <v>1.132047</v>
      </c>
      <c r="Q19" s="82"/>
    </row>
    <row r="20" spans="1:17" ht="15.75">
      <c r="A20" s="227"/>
      <c r="B20" s="200"/>
      <c r="C20" s="201"/>
      <c r="D20" s="211"/>
      <c r="E20" s="212"/>
      <c r="F20" s="227"/>
      <c r="G20" s="205"/>
      <c r="H20" s="214"/>
      <c r="I20" s="205"/>
      <c r="J20" s="215"/>
      <c r="K20" s="216"/>
      <c r="L20" s="217"/>
      <c r="M20" s="205"/>
      <c r="N20" s="205"/>
      <c r="O20" s="205"/>
      <c r="P20" s="205"/>
      <c r="Q20" s="82"/>
    </row>
    <row r="21" spans="1:17" ht="39" customHeight="1">
      <c r="A21" s="228">
        <v>7</v>
      </c>
      <c r="B21" s="229" t="s">
        <v>31</v>
      </c>
      <c r="C21" s="230" t="s">
        <v>167</v>
      </c>
      <c r="D21" s="231" t="s">
        <v>285</v>
      </c>
      <c r="E21" s="232">
        <v>2.4</v>
      </c>
      <c r="F21" s="233">
        <v>24.5</v>
      </c>
      <c r="G21" s="205">
        <f t="shared" si="0"/>
        <v>52.456949999999992</v>
      </c>
      <c r="H21" s="234">
        <v>3.54</v>
      </c>
      <c r="I21" s="205">
        <f t="shared" si="1"/>
        <v>10.108399200000001</v>
      </c>
      <c r="J21" s="235" t="s">
        <v>53</v>
      </c>
      <c r="K21" s="236" t="s">
        <v>285</v>
      </c>
      <c r="L21" s="237">
        <v>110</v>
      </c>
      <c r="M21" s="205">
        <f t="shared" si="4"/>
        <v>264</v>
      </c>
      <c r="N21" s="234">
        <v>2.4940000000000002</v>
      </c>
      <c r="O21" s="205">
        <f t="shared" si="2"/>
        <v>373.13112318000003</v>
      </c>
      <c r="P21" s="205">
        <f t="shared" si="3"/>
        <v>895.5146956320001</v>
      </c>
      <c r="Q21" s="82"/>
    </row>
    <row r="22" spans="1:17" ht="45">
      <c r="A22" s="228">
        <v>8</v>
      </c>
      <c r="B22" s="200" t="s">
        <v>34</v>
      </c>
      <c r="C22" s="201" t="s">
        <v>35</v>
      </c>
      <c r="D22" s="211" t="s">
        <v>36</v>
      </c>
      <c r="E22" s="203">
        <v>168</v>
      </c>
      <c r="F22" s="238">
        <v>1.17</v>
      </c>
      <c r="G22" s="205">
        <f>+F22*2.1411</f>
        <v>2.5050869999999996</v>
      </c>
      <c r="H22" s="219">
        <v>1.08</v>
      </c>
      <c r="I22" s="205">
        <f>+H22*2.85548</f>
        <v>3.0839184000000004</v>
      </c>
      <c r="J22" s="220" t="s">
        <v>154</v>
      </c>
      <c r="K22" s="216" t="s">
        <v>36</v>
      </c>
      <c r="L22" s="217">
        <v>1.1000000000000001</v>
      </c>
      <c r="M22" s="205">
        <f>+L22*E22</f>
        <v>184.8</v>
      </c>
      <c r="N22" s="205">
        <v>0.51200000000000001</v>
      </c>
      <c r="O22" s="205">
        <f>(L22*N22)*1.132047+G22+I22</f>
        <v>6.2265742704000004</v>
      </c>
      <c r="P22" s="205">
        <f>O22*E22</f>
        <v>1046.0644774272</v>
      </c>
      <c r="Q22" s="82"/>
    </row>
    <row r="23" spans="1:17" ht="18">
      <c r="A23" s="228"/>
      <c r="B23" s="200"/>
      <c r="C23" s="201"/>
      <c r="D23" s="211"/>
      <c r="E23" s="203"/>
      <c r="F23" s="227"/>
      <c r="G23" s="205"/>
      <c r="H23" s="219"/>
      <c r="I23" s="205"/>
      <c r="J23" s="137" t="s">
        <v>54</v>
      </c>
      <c r="K23" s="135" t="s">
        <v>287</v>
      </c>
      <c r="L23" s="239">
        <v>0.03</v>
      </c>
      <c r="M23" s="164">
        <f>L23*E22</f>
        <v>5.04</v>
      </c>
      <c r="N23" s="112">
        <v>141.667</v>
      </c>
      <c r="O23" s="205">
        <f>+(L23*N23)*1.132047+G23+I23</f>
        <v>4.8112110704699997</v>
      </c>
      <c r="P23" s="205">
        <f>O23*E22</f>
        <v>808.28345983895997</v>
      </c>
      <c r="Q23" s="82"/>
    </row>
    <row r="24" spans="1:17" ht="30">
      <c r="A24" s="228">
        <v>9</v>
      </c>
      <c r="B24" s="200" t="s">
        <v>37</v>
      </c>
      <c r="C24" s="201" t="s">
        <v>38</v>
      </c>
      <c r="D24" s="211" t="s">
        <v>287</v>
      </c>
      <c r="E24" s="203">
        <v>6.625</v>
      </c>
      <c r="F24" s="240">
        <v>12.6</v>
      </c>
      <c r="G24" s="205">
        <f>+F24*2.1411</f>
        <v>26.977859999999996</v>
      </c>
      <c r="H24" s="219">
        <v>2.1</v>
      </c>
      <c r="I24" s="205">
        <f>+H24*2.85548</f>
        <v>5.9965080000000004</v>
      </c>
      <c r="J24" s="220" t="s">
        <v>54</v>
      </c>
      <c r="K24" s="216" t="s">
        <v>287</v>
      </c>
      <c r="L24" s="217">
        <v>7.0000000000000007E-2</v>
      </c>
      <c r="M24" s="205">
        <f>+L24*E24</f>
        <v>0.46375000000000005</v>
      </c>
      <c r="N24" s="205">
        <v>141.667</v>
      </c>
      <c r="O24" s="205">
        <f>N24*L24*1.132047</f>
        <v>11.226159164430001</v>
      </c>
      <c r="P24" s="205">
        <f>O24*E24</f>
        <v>74.373304464348763</v>
      </c>
      <c r="Q24" s="82"/>
    </row>
    <row r="25" spans="1:17" ht="18">
      <c r="A25" s="228"/>
      <c r="B25" s="200"/>
      <c r="C25" s="201"/>
      <c r="D25" s="211"/>
      <c r="E25" s="203"/>
      <c r="F25" s="227"/>
      <c r="G25" s="205"/>
      <c r="H25" s="219"/>
      <c r="I25" s="205"/>
      <c r="J25" s="220" t="s">
        <v>57</v>
      </c>
      <c r="K25" s="241" t="s">
        <v>286</v>
      </c>
      <c r="L25" s="217">
        <v>3.83</v>
      </c>
      <c r="M25" s="205">
        <f>+L25*E24</f>
        <v>25.373750000000001</v>
      </c>
      <c r="N25" s="205">
        <v>0.25</v>
      </c>
      <c r="O25" s="205">
        <f>N25*L25*1.132047</f>
        <v>1.0839350025000001</v>
      </c>
      <c r="P25" s="205">
        <f>O25*E24</f>
        <v>7.1810693915625006</v>
      </c>
      <c r="Q25" s="82"/>
    </row>
    <row r="26" spans="1:17" ht="13.5" customHeight="1">
      <c r="A26" s="228"/>
      <c r="B26" s="200"/>
      <c r="C26" s="201"/>
      <c r="D26" s="211"/>
      <c r="E26" s="203"/>
      <c r="F26" s="227"/>
      <c r="G26" s="205"/>
      <c r="H26" s="219"/>
      <c r="I26" s="205"/>
      <c r="J26" s="220" t="s">
        <v>59</v>
      </c>
      <c r="K26" s="216" t="s">
        <v>55</v>
      </c>
      <c r="L26" s="217">
        <v>1.96</v>
      </c>
      <c r="M26" s="205">
        <f>+L26*E24</f>
        <v>12.984999999999999</v>
      </c>
      <c r="N26" s="205">
        <v>0.2</v>
      </c>
      <c r="O26" s="205">
        <f>N26*L26*1.132047</f>
        <v>0.44376242400000004</v>
      </c>
      <c r="P26" s="205">
        <f>O26*E24</f>
        <v>2.9399260590000003</v>
      </c>
      <c r="Q26" s="82"/>
    </row>
    <row r="27" spans="1:17" ht="15.75">
      <c r="A27" s="228"/>
      <c r="B27" s="200"/>
      <c r="C27" s="201"/>
      <c r="D27" s="211"/>
      <c r="E27" s="203"/>
      <c r="F27" s="227"/>
      <c r="G27" s="205"/>
      <c r="H27" s="219"/>
      <c r="I27" s="205"/>
      <c r="J27" s="220" t="s">
        <v>60</v>
      </c>
      <c r="K27" s="216" t="s">
        <v>55</v>
      </c>
      <c r="L27" s="217">
        <v>7.2</v>
      </c>
      <c r="M27" s="205">
        <f>+L27*E24</f>
        <v>47.7</v>
      </c>
      <c r="N27" s="205">
        <v>0.38</v>
      </c>
      <c r="O27" s="205">
        <f>N27*L27*1.132047</f>
        <v>3.0972805920000002</v>
      </c>
      <c r="P27" s="205">
        <f>O27*E24</f>
        <v>20.519483922000003</v>
      </c>
      <c r="Q27" s="82"/>
    </row>
    <row r="28" spans="1:17" ht="21.75" customHeight="1">
      <c r="A28" s="228"/>
      <c r="B28" s="200"/>
      <c r="C28" s="201"/>
      <c r="D28" s="211"/>
      <c r="E28" s="203"/>
      <c r="F28" s="227"/>
      <c r="G28" s="205"/>
      <c r="H28" s="219"/>
      <c r="I28" s="205"/>
      <c r="J28" s="220" t="s">
        <v>61</v>
      </c>
      <c r="K28" s="216" t="s">
        <v>55</v>
      </c>
      <c r="L28" s="217">
        <v>4.38</v>
      </c>
      <c r="M28" s="205">
        <f>+L28*E24</f>
        <v>29.017499999999998</v>
      </c>
      <c r="N28" s="205">
        <v>0.5</v>
      </c>
      <c r="O28" s="205">
        <f>N28*L28*1.132047</f>
        <v>2.4791829299999999</v>
      </c>
      <c r="P28" s="205">
        <f>O28*E24</f>
        <v>16.42458691125</v>
      </c>
      <c r="Q28" s="82"/>
    </row>
    <row r="29" spans="1:17" ht="15.75">
      <c r="A29" s="228"/>
      <c r="B29" s="200"/>
      <c r="C29" s="201"/>
      <c r="D29" s="211"/>
      <c r="E29" s="203"/>
      <c r="F29" s="227"/>
      <c r="G29" s="205"/>
      <c r="H29" s="219"/>
      <c r="I29" s="205"/>
      <c r="J29" s="209"/>
      <c r="K29" s="216"/>
      <c r="L29" s="217"/>
      <c r="M29" s="205"/>
      <c r="N29" s="205"/>
      <c r="O29" s="205"/>
      <c r="P29" s="205"/>
      <c r="Q29" s="82"/>
    </row>
    <row r="30" spans="1:17" ht="33.75">
      <c r="A30" s="228">
        <v>10</v>
      </c>
      <c r="B30" s="242" t="s">
        <v>40</v>
      </c>
      <c r="C30" s="243" t="s">
        <v>41</v>
      </c>
      <c r="D30" s="244" t="s">
        <v>42</v>
      </c>
      <c r="E30" s="245">
        <v>0.45</v>
      </c>
      <c r="F30" s="246">
        <v>40.799999999999997</v>
      </c>
      <c r="G30" s="205">
        <f>+F30*2.1411</f>
        <v>87.35687999999999</v>
      </c>
      <c r="H30" s="205">
        <v>6.62</v>
      </c>
      <c r="I30" s="205">
        <f>+H30*2.85548</f>
        <v>18.903277599999999</v>
      </c>
      <c r="J30" s="247" t="s">
        <v>62</v>
      </c>
      <c r="K30" s="241" t="s">
        <v>25</v>
      </c>
      <c r="L30" s="208">
        <v>0.67</v>
      </c>
      <c r="M30" s="205">
        <f>+L30*E30</f>
        <v>0.30150000000000005</v>
      </c>
      <c r="N30" s="205">
        <v>516.51</v>
      </c>
      <c r="O30" s="205">
        <f>N30*L30*1.132047+I30+G30</f>
        <v>498.01826689990008</v>
      </c>
      <c r="P30" s="205">
        <f>O30*E30</f>
        <v>224.10822010495505</v>
      </c>
      <c r="Q30" s="82"/>
    </row>
    <row r="31" spans="1:17" ht="15.75">
      <c r="A31" s="228"/>
      <c r="B31" s="248"/>
      <c r="C31" s="243"/>
      <c r="D31" s="244"/>
      <c r="E31" s="245"/>
      <c r="F31" s="227"/>
      <c r="G31" s="205"/>
      <c r="H31" s="205"/>
      <c r="I31" s="205"/>
      <c r="J31" s="247" t="s">
        <v>63</v>
      </c>
      <c r="K31" s="241" t="s">
        <v>55</v>
      </c>
      <c r="L31" s="208">
        <v>12.8</v>
      </c>
      <c r="M31" s="205">
        <f>+L31*E30</f>
        <v>5.7600000000000007</v>
      </c>
      <c r="N31" s="205">
        <v>0.38</v>
      </c>
      <c r="O31" s="205">
        <f>N31*L31*1.132047</f>
        <v>5.5062766080000012</v>
      </c>
      <c r="P31" s="205">
        <f>E30*O31</f>
        <v>2.4778244736000006</v>
      </c>
      <c r="Q31" s="82"/>
    </row>
    <row r="32" spans="1:17" ht="15.75">
      <c r="A32" s="228"/>
      <c r="B32" s="248"/>
      <c r="C32" s="243"/>
      <c r="D32" s="249"/>
      <c r="E32" s="245"/>
      <c r="F32" s="227"/>
      <c r="G32" s="205"/>
      <c r="H32" s="205"/>
      <c r="I32" s="205"/>
      <c r="J32" s="247" t="s">
        <v>64</v>
      </c>
      <c r="K32" s="241" t="s">
        <v>55</v>
      </c>
      <c r="L32" s="208">
        <v>12.8</v>
      </c>
      <c r="M32" s="205">
        <f>+L32*E30</f>
        <v>5.7600000000000007</v>
      </c>
      <c r="N32" s="205">
        <v>0.4</v>
      </c>
      <c r="O32" s="205">
        <f>N32*L32*1.132047</f>
        <v>5.7960806400000013</v>
      </c>
      <c r="P32" s="205">
        <f>O32*E30</f>
        <v>2.6082362880000005</v>
      </c>
      <c r="Q32" s="82"/>
    </row>
    <row r="33" spans="1:17" ht="15.75">
      <c r="A33" s="228"/>
      <c r="B33" s="248"/>
      <c r="C33" s="243"/>
      <c r="D33" s="249"/>
      <c r="E33" s="245"/>
      <c r="F33" s="227"/>
      <c r="G33" s="205"/>
      <c r="H33" s="205"/>
      <c r="I33" s="205"/>
      <c r="J33" s="247" t="s">
        <v>65</v>
      </c>
      <c r="K33" s="241" t="s">
        <v>55</v>
      </c>
      <c r="L33" s="208">
        <v>4.0599999999999996</v>
      </c>
      <c r="M33" s="205">
        <f>+L33*E30</f>
        <v>1.827</v>
      </c>
      <c r="N33" s="205">
        <v>0.4</v>
      </c>
      <c r="O33" s="205">
        <f>N33*L33*1.132047</f>
        <v>1.838444328</v>
      </c>
      <c r="P33" s="205">
        <f>O33*E30</f>
        <v>0.82729994760000003</v>
      </c>
      <c r="Q33" s="82"/>
    </row>
    <row r="34" spans="1:17" ht="15.75" customHeight="1">
      <c r="A34" s="228"/>
      <c r="B34" s="242"/>
      <c r="C34" s="243"/>
      <c r="D34" s="249"/>
      <c r="E34" s="245"/>
      <c r="F34" s="227"/>
      <c r="G34" s="205"/>
      <c r="H34" s="205"/>
      <c r="I34" s="205"/>
      <c r="J34" s="247" t="s">
        <v>66</v>
      </c>
      <c r="K34" s="241" t="s">
        <v>287</v>
      </c>
      <c r="L34" s="208">
        <v>4.45</v>
      </c>
      <c r="M34" s="205">
        <f>+L34*E30</f>
        <v>2.0024999999999999</v>
      </c>
      <c r="N34" s="205">
        <v>141.667</v>
      </c>
      <c r="O34" s="205">
        <f>N34*L34*1.132047</f>
        <v>713.66297545305008</v>
      </c>
      <c r="P34" s="205">
        <f>O34*E30</f>
        <v>321.14833895387255</v>
      </c>
      <c r="Q34" s="82"/>
    </row>
    <row r="35" spans="1:17" ht="45">
      <c r="A35" s="228">
        <v>11</v>
      </c>
      <c r="B35" s="242" t="s">
        <v>43</v>
      </c>
      <c r="C35" s="243" t="s">
        <v>44</v>
      </c>
      <c r="D35" s="244" t="s">
        <v>285</v>
      </c>
      <c r="E35" s="245">
        <v>0.45</v>
      </c>
      <c r="F35" s="250">
        <v>8.66</v>
      </c>
      <c r="G35" s="205">
        <f>+F35*2.1411</f>
        <v>18.541926</v>
      </c>
      <c r="H35" s="205">
        <v>0.05</v>
      </c>
      <c r="I35" s="205">
        <f>+H35*2.85548</f>
        <v>0.14277400000000001</v>
      </c>
      <c r="J35" s="247" t="s">
        <v>62</v>
      </c>
      <c r="K35" s="241" t="s">
        <v>25</v>
      </c>
      <c r="L35" s="208">
        <v>0.02</v>
      </c>
      <c r="M35" s="205">
        <f>+L35*E35</f>
        <v>9.0000000000000011E-3</v>
      </c>
      <c r="N35" s="205">
        <v>516.51</v>
      </c>
      <c r="O35" s="205">
        <f>+(L35*N35)*1.132047+G35+I35</f>
        <v>30.378971919399998</v>
      </c>
      <c r="P35" s="205">
        <f>O35*E35</f>
        <v>13.670537363729999</v>
      </c>
      <c r="Q35" s="82"/>
    </row>
    <row r="36" spans="1:17" ht="15.75">
      <c r="A36" s="228"/>
      <c r="B36" s="248"/>
      <c r="C36" s="243"/>
      <c r="D36" s="244"/>
      <c r="E36" s="245"/>
      <c r="F36" s="227"/>
      <c r="G36" s="205"/>
      <c r="H36" s="205"/>
      <c r="I36" s="205"/>
      <c r="J36" s="247" t="s">
        <v>56</v>
      </c>
      <c r="K36" s="241" t="s">
        <v>55</v>
      </c>
      <c r="L36" s="208">
        <v>11.2</v>
      </c>
      <c r="M36" s="205">
        <f>+L36*E35</f>
        <v>5.04</v>
      </c>
      <c r="N36" s="205">
        <v>0.4</v>
      </c>
      <c r="O36" s="205">
        <f>N36*L36*1.132</f>
        <v>5.0713599999999994</v>
      </c>
      <c r="P36" s="205">
        <f>O36*E35</f>
        <v>2.2821119999999997</v>
      </c>
      <c r="Q36" s="82"/>
    </row>
    <row r="37" spans="1:17" ht="18">
      <c r="A37" s="228"/>
      <c r="B37" s="251"/>
      <c r="C37" s="201"/>
      <c r="D37" s="202"/>
      <c r="E37" s="203"/>
      <c r="F37" s="227"/>
      <c r="G37" s="205"/>
      <c r="H37" s="219"/>
      <c r="I37" s="205"/>
      <c r="J37" s="137" t="s">
        <v>51</v>
      </c>
      <c r="K37" s="135" t="s">
        <v>287</v>
      </c>
      <c r="L37" s="239">
        <v>1.19</v>
      </c>
      <c r="M37" s="164">
        <f>L37*E35</f>
        <v>0.53549999999999998</v>
      </c>
      <c r="N37" s="112">
        <v>141.667</v>
      </c>
      <c r="O37" s="205">
        <f>N37*L37*1.132047</f>
        <v>190.84470579531001</v>
      </c>
      <c r="P37" s="205">
        <f>O37*E35</f>
        <v>85.880117607889503</v>
      </c>
      <c r="Q37" s="82"/>
    </row>
    <row r="38" spans="1:17" ht="15.75">
      <c r="A38" s="228"/>
      <c r="B38" s="251"/>
      <c r="C38" s="201"/>
      <c r="D38" s="211"/>
      <c r="E38" s="203"/>
      <c r="F38" s="227"/>
      <c r="G38" s="205"/>
      <c r="H38" s="219"/>
      <c r="I38" s="205"/>
      <c r="J38" s="220" t="s">
        <v>67</v>
      </c>
      <c r="K38" s="216" t="s">
        <v>18</v>
      </c>
      <c r="L38" s="217">
        <v>1</v>
      </c>
      <c r="M38" s="205">
        <v>26</v>
      </c>
      <c r="N38" s="205">
        <v>1.333</v>
      </c>
      <c r="O38" s="205">
        <f>N38*L38*1.132</f>
        <v>1.5089559999999997</v>
      </c>
      <c r="P38" s="205">
        <f>O38*M38</f>
        <v>39.232855999999991</v>
      </c>
      <c r="Q38" s="82"/>
    </row>
    <row r="39" spans="1:17" ht="30">
      <c r="A39" s="228"/>
      <c r="B39" s="251"/>
      <c r="C39" s="201"/>
      <c r="D39" s="211"/>
      <c r="E39" s="203"/>
      <c r="F39" s="227"/>
      <c r="G39" s="205"/>
      <c r="H39" s="219"/>
      <c r="I39" s="205"/>
      <c r="J39" s="220" t="s">
        <v>68</v>
      </c>
      <c r="K39" s="216" t="s">
        <v>29</v>
      </c>
      <c r="L39" s="217">
        <v>2</v>
      </c>
      <c r="M39" s="205">
        <v>2</v>
      </c>
      <c r="N39" s="205">
        <v>1.958</v>
      </c>
      <c r="O39" s="205">
        <f>N39*L39</f>
        <v>3.9159999999999999</v>
      </c>
      <c r="P39" s="205">
        <f>O39*1.132047</f>
        <v>4.4330960519999998</v>
      </c>
      <c r="Q39" s="82"/>
    </row>
    <row r="40" spans="1:17" ht="15.75" customHeight="1">
      <c r="A40" s="228"/>
      <c r="B40" s="200"/>
      <c r="C40" s="201"/>
      <c r="D40" s="211"/>
      <c r="E40" s="203"/>
      <c r="F40" s="227"/>
      <c r="G40" s="205"/>
      <c r="H40" s="219"/>
      <c r="I40" s="205"/>
      <c r="J40" s="220" t="s">
        <v>69</v>
      </c>
      <c r="K40" s="216" t="s">
        <v>29</v>
      </c>
      <c r="L40" s="217">
        <v>4</v>
      </c>
      <c r="M40" s="205">
        <v>4</v>
      </c>
      <c r="N40" s="205">
        <v>1.1200000000000001</v>
      </c>
      <c r="O40" s="205">
        <f>+(L40*N40)*1.132047</f>
        <v>5.0715705600000005</v>
      </c>
      <c r="P40" s="205">
        <v>5.0720000000000001</v>
      </c>
      <c r="Q40" s="82"/>
    </row>
    <row r="41" spans="1:17" ht="15.75">
      <c r="A41" s="228"/>
      <c r="B41" s="200"/>
      <c r="C41" s="201"/>
      <c r="D41" s="211"/>
      <c r="E41" s="203"/>
      <c r="F41" s="227"/>
      <c r="G41" s="205"/>
      <c r="H41" s="219"/>
      <c r="I41" s="205"/>
      <c r="J41" s="209"/>
      <c r="K41" s="216"/>
      <c r="L41" s="217"/>
      <c r="M41" s="205"/>
      <c r="N41" s="205"/>
      <c r="O41" s="205"/>
      <c r="P41" s="205"/>
      <c r="Q41" s="82"/>
    </row>
    <row r="42" spans="1:17" ht="38.25">
      <c r="A42" s="228">
        <v>12</v>
      </c>
      <c r="B42" s="242" t="s">
        <v>45</v>
      </c>
      <c r="C42" s="243" t="s">
        <v>46</v>
      </c>
      <c r="D42" s="244" t="s">
        <v>285</v>
      </c>
      <c r="E42" s="245">
        <v>2.04</v>
      </c>
      <c r="F42" s="252">
        <v>1.62</v>
      </c>
      <c r="G42" s="205">
        <f>+F42*2.1411</f>
        <v>3.4685820000000001</v>
      </c>
      <c r="H42" s="205">
        <v>0.41</v>
      </c>
      <c r="I42" s="205">
        <f>+H42*2.85548</f>
        <v>1.1707467999999999</v>
      </c>
      <c r="J42" s="247" t="s">
        <v>70</v>
      </c>
      <c r="K42" s="241" t="s">
        <v>55</v>
      </c>
      <c r="L42" s="208">
        <v>32.4</v>
      </c>
      <c r="M42" s="205">
        <f>+L42*E42</f>
        <v>66.096000000000004</v>
      </c>
      <c r="N42" s="205">
        <v>2.46</v>
      </c>
      <c r="O42" s="205">
        <f>+(L42*N42)*1.132047+G42+I42</f>
        <v>94.868002887999992</v>
      </c>
      <c r="P42" s="205">
        <f>O42*E42</f>
        <v>193.53072589151998</v>
      </c>
      <c r="Q42" s="82"/>
    </row>
    <row r="43" spans="1:17" ht="15.75">
      <c r="A43" s="228"/>
      <c r="B43" s="242"/>
      <c r="C43" s="243"/>
      <c r="D43" s="249"/>
      <c r="E43" s="245"/>
      <c r="F43" s="227"/>
      <c r="G43" s="205"/>
      <c r="H43" s="205"/>
      <c r="I43" s="205"/>
      <c r="J43" s="206"/>
      <c r="K43" s="253"/>
      <c r="L43" s="254"/>
      <c r="M43" s="205"/>
      <c r="N43" s="205" t="s">
        <v>71</v>
      </c>
      <c r="O43" s="205"/>
      <c r="P43" s="205"/>
      <c r="Q43" s="82"/>
    </row>
    <row r="44" spans="1:17" ht="30">
      <c r="A44" s="228">
        <v>13</v>
      </c>
      <c r="B44" s="242" t="s">
        <v>47</v>
      </c>
      <c r="C44" s="243" t="s">
        <v>48</v>
      </c>
      <c r="D44" s="249" t="s">
        <v>287</v>
      </c>
      <c r="E44" s="203">
        <v>2.48</v>
      </c>
      <c r="F44" s="255">
        <v>0.46</v>
      </c>
      <c r="G44" s="205">
        <f>+F44*2.1411</f>
        <v>0.98490599999999995</v>
      </c>
      <c r="H44" s="205">
        <v>0.13</v>
      </c>
      <c r="I44" s="205">
        <f>+H44*2.85548</f>
        <v>0.3712124</v>
      </c>
      <c r="J44" s="247" t="s">
        <v>70</v>
      </c>
      <c r="K44" s="241" t="s">
        <v>55</v>
      </c>
      <c r="L44" s="208">
        <v>10</v>
      </c>
      <c r="M44" s="205">
        <f>+L44*E44</f>
        <v>24.8</v>
      </c>
      <c r="N44" s="205">
        <v>2.46</v>
      </c>
      <c r="O44" s="205">
        <f>+(L44*N44)*1.132047+G44+I44</f>
        <v>29.204474600000001</v>
      </c>
      <c r="P44" s="205">
        <f>O44*E44</f>
        <v>72.427097008000004</v>
      </c>
      <c r="Q44" s="82"/>
    </row>
    <row r="45" spans="1:17" ht="15.75">
      <c r="A45" s="227"/>
      <c r="B45" s="256"/>
      <c r="C45" s="256"/>
      <c r="D45" s="256"/>
      <c r="E45" s="256"/>
      <c r="F45" s="256"/>
      <c r="G45" s="256"/>
      <c r="H45" s="256"/>
      <c r="I45" s="256"/>
      <c r="J45" s="256"/>
      <c r="K45" s="256"/>
      <c r="L45" s="256"/>
      <c r="M45" s="256"/>
      <c r="N45" s="256"/>
      <c r="O45" s="256"/>
      <c r="P45" s="256"/>
      <c r="Q45" s="82"/>
    </row>
    <row r="46" spans="1:17" ht="15.75">
      <c r="A46" s="227"/>
      <c r="B46" s="256"/>
      <c r="C46" s="256"/>
      <c r="D46" s="256"/>
      <c r="E46" s="256"/>
      <c r="F46" s="256"/>
      <c r="G46" s="256"/>
      <c r="H46" s="256"/>
      <c r="I46" s="205"/>
      <c r="J46" s="257" t="s">
        <v>75</v>
      </c>
      <c r="K46" s="227"/>
      <c r="L46" s="227"/>
      <c r="M46" s="205"/>
      <c r="N46" s="205"/>
      <c r="O46" s="205"/>
      <c r="P46" s="258">
        <f>P44+P42+P40+P39+P38+P37+P36+P35+P34+P33+P32+P31+P30++P28+P27+P26+P25+P24+P23+P22+P21++P19+P18+P17+P15+P13+P11+P9</f>
        <v>4454.7173699382683</v>
      </c>
      <c r="Q46" s="82"/>
    </row>
    <row r="47" spans="1:17" ht="15.75" customHeight="1">
      <c r="A47" s="227"/>
      <c r="B47" s="256"/>
      <c r="C47" s="256"/>
      <c r="D47" s="256"/>
      <c r="E47" s="256"/>
      <c r="F47" s="256"/>
      <c r="G47" s="256"/>
      <c r="H47" s="256"/>
      <c r="I47" s="205"/>
      <c r="J47" s="227"/>
      <c r="K47" s="227"/>
      <c r="L47" s="227"/>
      <c r="M47" s="205"/>
      <c r="N47" s="205"/>
      <c r="O47" s="205"/>
      <c r="P47" s="259"/>
      <c r="Q47" s="82"/>
    </row>
    <row r="48" spans="1:17" ht="15.75">
      <c r="A48" s="227"/>
      <c r="B48" s="256"/>
      <c r="C48" s="256"/>
      <c r="D48" s="256"/>
      <c r="E48" s="256"/>
      <c r="F48" s="256"/>
      <c r="G48" s="256"/>
      <c r="H48" s="256"/>
      <c r="I48" s="205"/>
      <c r="J48" s="227" t="s">
        <v>76</v>
      </c>
      <c r="K48" s="227"/>
      <c r="L48" s="227"/>
      <c r="M48" s="205"/>
      <c r="N48" s="205"/>
      <c r="O48" s="205"/>
      <c r="P48" s="259">
        <f>P46*13.3/100</f>
        <v>592.47741020178978</v>
      </c>
      <c r="Q48" s="82"/>
    </row>
    <row r="49" spans="1:17" ht="15.75" customHeight="1">
      <c r="A49" s="227"/>
      <c r="B49" s="256"/>
      <c r="C49" s="256"/>
      <c r="D49" s="256"/>
      <c r="E49" s="256"/>
      <c r="F49" s="256"/>
      <c r="G49" s="256"/>
      <c r="H49" s="256"/>
      <c r="I49" s="205"/>
      <c r="J49" s="227"/>
      <c r="K49" s="227"/>
      <c r="L49" s="227"/>
      <c r="M49" s="205"/>
      <c r="N49" s="205"/>
      <c r="O49" s="205"/>
      <c r="P49" s="259"/>
      <c r="Q49" s="82"/>
    </row>
    <row r="50" spans="1:17" ht="15.75">
      <c r="A50" s="228"/>
      <c r="B50" s="227"/>
      <c r="C50" s="227"/>
      <c r="D50" s="227"/>
      <c r="E50" s="227"/>
      <c r="F50" s="227"/>
      <c r="G50" s="205"/>
      <c r="H50" s="205"/>
      <c r="I50" s="205"/>
      <c r="J50" s="227" t="s">
        <v>75</v>
      </c>
      <c r="K50" s="227"/>
      <c r="L50" s="227"/>
      <c r="M50" s="205"/>
      <c r="N50" s="205"/>
      <c r="O50" s="205"/>
      <c r="P50" s="258">
        <f>P48+P46</f>
        <v>5047.1947801400584</v>
      </c>
      <c r="Q50" s="82"/>
    </row>
    <row r="51" spans="1:17" ht="15.75">
      <c r="A51" s="228"/>
      <c r="B51" s="227"/>
      <c r="C51" s="227"/>
      <c r="D51" s="227"/>
      <c r="E51" s="227"/>
      <c r="F51" s="227"/>
      <c r="G51" s="205"/>
      <c r="H51" s="227"/>
      <c r="I51" s="205"/>
      <c r="J51" s="227"/>
      <c r="K51" s="227"/>
      <c r="L51" s="227"/>
      <c r="M51" s="205"/>
      <c r="N51" s="205"/>
      <c r="O51" s="205"/>
      <c r="P51" s="259"/>
      <c r="Q51" s="82"/>
    </row>
    <row r="52" spans="1:17" ht="15.75">
      <c r="A52" s="228"/>
      <c r="B52" s="227"/>
      <c r="C52" s="227"/>
      <c r="D52" s="227"/>
      <c r="E52" s="227"/>
      <c r="F52" s="227"/>
      <c r="G52" s="205"/>
      <c r="H52" s="227"/>
      <c r="I52" s="205"/>
      <c r="J52" s="227" t="s">
        <v>126</v>
      </c>
      <c r="K52" s="260">
        <v>0.11</v>
      </c>
      <c r="L52" s="227"/>
      <c r="M52" s="205"/>
      <c r="N52" s="205"/>
      <c r="O52" s="205"/>
      <c r="P52" s="259">
        <f>P50*11/100</f>
        <v>555.19142581540643</v>
      </c>
      <c r="Q52" s="82"/>
    </row>
    <row r="53" spans="1:17" ht="15.75">
      <c r="A53" s="228"/>
      <c r="B53" s="227"/>
      <c r="C53" s="227"/>
      <c r="D53" s="227"/>
      <c r="E53" s="227"/>
      <c r="F53" s="227"/>
      <c r="G53" s="205"/>
      <c r="H53" s="227"/>
      <c r="I53" s="205"/>
      <c r="J53" s="227"/>
      <c r="K53" s="227"/>
      <c r="L53" s="227"/>
      <c r="M53" s="205"/>
      <c r="N53" s="205"/>
      <c r="O53" s="205"/>
      <c r="P53" s="259"/>
      <c r="Q53" s="82"/>
    </row>
    <row r="54" spans="1:17" ht="15.75">
      <c r="A54" s="228"/>
      <c r="B54" s="227"/>
      <c r="C54" s="227"/>
      <c r="D54" s="227"/>
      <c r="E54" s="227"/>
      <c r="F54" s="227"/>
      <c r="G54" s="205"/>
      <c r="H54" s="227"/>
      <c r="I54" s="205"/>
      <c r="J54" s="257" t="s">
        <v>75</v>
      </c>
      <c r="K54" s="227"/>
      <c r="L54" s="227"/>
      <c r="M54" s="205"/>
      <c r="N54" s="205"/>
      <c r="O54" s="205"/>
      <c r="P54" s="258">
        <f>P52+P50</f>
        <v>5602.3862059554649</v>
      </c>
      <c r="Q54" s="82"/>
    </row>
    <row r="55" spans="1:17" ht="15.75">
      <c r="A55" s="228"/>
      <c r="B55" s="227"/>
      <c r="C55" s="227"/>
      <c r="D55" s="227"/>
      <c r="E55" s="227"/>
      <c r="F55" s="227"/>
      <c r="G55" s="205"/>
      <c r="H55" s="227"/>
      <c r="I55" s="205"/>
      <c r="J55" s="256"/>
      <c r="K55" s="227"/>
      <c r="L55" s="227"/>
      <c r="M55" s="205"/>
      <c r="N55" s="205"/>
      <c r="O55" s="205"/>
      <c r="P55" s="256"/>
      <c r="Q55" s="82"/>
    </row>
    <row r="56" spans="1:17" ht="15.75">
      <c r="A56" s="228"/>
      <c r="B56" s="227"/>
      <c r="C56" s="227"/>
      <c r="D56" s="227"/>
      <c r="E56" s="227"/>
      <c r="F56" s="227"/>
      <c r="G56" s="205"/>
      <c r="H56" s="227"/>
      <c r="I56" s="256"/>
      <c r="J56" s="256"/>
      <c r="K56" s="256"/>
      <c r="L56" s="256"/>
      <c r="M56" s="256"/>
      <c r="N56" s="256"/>
      <c r="O56" s="256"/>
      <c r="P56" s="256"/>
      <c r="Q56" s="82"/>
    </row>
    <row r="57" spans="1:17" ht="15.75">
      <c r="A57" s="228"/>
      <c r="B57" s="227"/>
      <c r="C57" s="227"/>
      <c r="D57" s="227"/>
      <c r="E57" s="227"/>
      <c r="F57" s="227"/>
      <c r="G57" s="261" t="s">
        <v>166</v>
      </c>
      <c r="H57" s="227"/>
      <c r="I57" s="205"/>
      <c r="J57" s="227"/>
      <c r="K57" s="227"/>
      <c r="L57" s="227"/>
      <c r="M57" s="205"/>
      <c r="N57" s="205"/>
      <c r="O57" s="205"/>
      <c r="P57" s="259"/>
      <c r="Q57" s="82"/>
    </row>
    <row r="58" spans="1:17" ht="75">
      <c r="A58" s="228">
        <v>1</v>
      </c>
      <c r="B58" s="262" t="s">
        <v>77</v>
      </c>
      <c r="C58" s="263" t="s">
        <v>155</v>
      </c>
      <c r="D58" s="249" t="s">
        <v>287</v>
      </c>
      <c r="E58" s="228">
        <v>8.66</v>
      </c>
      <c r="F58" s="228">
        <v>4.6100000000000003</v>
      </c>
      <c r="G58" s="205">
        <f>+F58*2.1411</f>
        <v>9.8704710000000002</v>
      </c>
      <c r="H58" s="228">
        <v>0.81</v>
      </c>
      <c r="I58" s="205">
        <f>+H58*2.85548</f>
        <v>2.3129388</v>
      </c>
      <c r="J58" s="264" t="s">
        <v>81</v>
      </c>
      <c r="K58" s="249" t="s">
        <v>287</v>
      </c>
      <c r="L58" s="228">
        <v>1.02</v>
      </c>
      <c r="M58" s="205">
        <f>+L58*E58</f>
        <v>8.8331999999999997</v>
      </c>
      <c r="N58" s="205">
        <v>28.103999999999999</v>
      </c>
      <c r="O58" s="205">
        <f>+(L58*N58)*1.132047+G58+I58</f>
        <v>44.634759665760001</v>
      </c>
      <c r="P58" s="228">
        <f>O58*E58</f>
        <v>386.53701870548161</v>
      </c>
      <c r="Q58" s="82"/>
    </row>
    <row r="59" spans="1:17" ht="15.75">
      <c r="A59" s="228"/>
      <c r="B59" s="227"/>
      <c r="C59" s="227"/>
      <c r="D59" s="227"/>
      <c r="E59" s="227"/>
      <c r="F59" s="227"/>
      <c r="G59" s="205"/>
      <c r="H59" s="227"/>
      <c r="I59" s="205"/>
      <c r="J59" s="227" t="s">
        <v>78</v>
      </c>
      <c r="K59" s="259" t="s">
        <v>80</v>
      </c>
      <c r="L59" s="228">
        <v>1.37</v>
      </c>
      <c r="M59" s="259">
        <f>+L59*E58</f>
        <v>11.8642</v>
      </c>
      <c r="N59" s="228">
        <v>3.5</v>
      </c>
      <c r="O59" s="205">
        <f>+(L59*N59)*1.132047</f>
        <v>5.4281653649999999</v>
      </c>
      <c r="P59" s="228">
        <f>O59*E58</f>
        <v>47.007912060899997</v>
      </c>
      <c r="Q59" s="82"/>
    </row>
    <row r="60" spans="1:17" ht="18">
      <c r="A60" s="228"/>
      <c r="B60" s="227"/>
      <c r="C60" s="227"/>
      <c r="D60" s="227"/>
      <c r="E60" s="227"/>
      <c r="F60" s="227"/>
      <c r="G60" s="205"/>
      <c r="H60" s="227"/>
      <c r="I60" s="205"/>
      <c r="J60" s="227" t="s">
        <v>79</v>
      </c>
      <c r="K60" s="249" t="s">
        <v>287</v>
      </c>
      <c r="L60" s="228">
        <v>0.04</v>
      </c>
      <c r="M60" s="259">
        <f>+L60*E58</f>
        <v>0.34639999999999999</v>
      </c>
      <c r="N60" s="227">
        <v>141.667</v>
      </c>
      <c r="O60" s="205">
        <f>+(L60*N60)*1.132047</f>
        <v>6.4149480939600005</v>
      </c>
      <c r="P60" s="228">
        <f>O60*E58</f>
        <v>55.553450493693603</v>
      </c>
      <c r="Q60" s="82"/>
    </row>
    <row r="61" spans="1:17" ht="15.75">
      <c r="A61" s="228">
        <v>2</v>
      </c>
      <c r="B61" s="227"/>
      <c r="C61" s="227" t="s">
        <v>88</v>
      </c>
      <c r="D61" s="259" t="s">
        <v>83</v>
      </c>
      <c r="E61" s="259">
        <v>0.9</v>
      </c>
      <c r="F61" s="227"/>
      <c r="G61" s="205"/>
      <c r="H61" s="227"/>
      <c r="I61" s="205"/>
      <c r="J61" s="227" t="s">
        <v>82</v>
      </c>
      <c r="K61" s="259" t="s">
        <v>83</v>
      </c>
      <c r="L61" s="228">
        <v>1</v>
      </c>
      <c r="M61" s="259">
        <f>+L61*E61</f>
        <v>0.9</v>
      </c>
      <c r="N61" s="259">
        <v>230</v>
      </c>
      <c r="O61" s="205">
        <f>+(L61*N61)*1.132047</f>
        <v>260.37081000000001</v>
      </c>
      <c r="P61" s="228">
        <f t="shared" ref="P61" si="5">O61*E61</f>
        <v>234.33372900000001</v>
      </c>
      <c r="Q61" s="82"/>
    </row>
    <row r="62" spans="1:17" ht="15.75">
      <c r="A62" s="228"/>
      <c r="B62" s="227"/>
      <c r="C62" s="227"/>
      <c r="D62" s="259"/>
      <c r="E62" s="259"/>
      <c r="F62" s="227"/>
      <c r="G62" s="205"/>
      <c r="H62" s="227"/>
      <c r="I62" s="205"/>
      <c r="J62" s="227"/>
      <c r="K62" s="259"/>
      <c r="L62" s="228"/>
      <c r="M62" s="259"/>
      <c r="N62" s="227"/>
      <c r="O62" s="227"/>
      <c r="P62" s="228"/>
      <c r="Q62" s="82"/>
    </row>
    <row r="63" spans="1:17" ht="45">
      <c r="A63" s="228">
        <v>3</v>
      </c>
      <c r="B63" s="265" t="s">
        <v>158</v>
      </c>
      <c r="C63" s="263" t="s">
        <v>161</v>
      </c>
      <c r="D63" s="135" t="s">
        <v>95</v>
      </c>
      <c r="E63" s="228">
        <v>16</v>
      </c>
      <c r="F63" s="228">
        <v>1.52</v>
      </c>
      <c r="G63" s="205">
        <f>+F63*2.1411</f>
        <v>3.2544719999999998</v>
      </c>
      <c r="H63" s="228">
        <v>0.53</v>
      </c>
      <c r="I63" s="205">
        <f>+H63*2.85548</f>
        <v>1.5134044</v>
      </c>
      <c r="J63" s="227"/>
      <c r="K63" s="135"/>
      <c r="L63" s="228"/>
      <c r="M63" s="259"/>
      <c r="N63" s="259"/>
      <c r="O63" s="266">
        <f>I63+G63</f>
        <v>4.7678763999999996</v>
      </c>
      <c r="P63" s="228">
        <f>O63*E63</f>
        <v>76.286022399999993</v>
      </c>
      <c r="Q63" s="82"/>
    </row>
    <row r="64" spans="1:17" ht="16.5" customHeight="1">
      <c r="A64" s="228"/>
      <c r="B64" s="227"/>
      <c r="C64" s="227"/>
      <c r="D64" s="259"/>
      <c r="E64" s="259"/>
      <c r="F64" s="227"/>
      <c r="G64" s="205"/>
      <c r="H64" s="227"/>
      <c r="I64" s="205"/>
      <c r="J64" s="227"/>
      <c r="K64" s="259"/>
      <c r="L64" s="228"/>
      <c r="M64" s="259"/>
      <c r="N64" s="259"/>
      <c r="O64" s="259"/>
      <c r="P64" s="259"/>
      <c r="Q64" s="82"/>
    </row>
    <row r="65" spans="1:17" ht="45">
      <c r="A65" s="228">
        <v>4</v>
      </c>
      <c r="B65" s="227" t="s">
        <v>159</v>
      </c>
      <c r="C65" s="263" t="s">
        <v>157</v>
      </c>
      <c r="D65" s="228" t="s">
        <v>95</v>
      </c>
      <c r="E65" s="228">
        <v>8</v>
      </c>
      <c r="F65" s="228">
        <v>1.18</v>
      </c>
      <c r="G65" s="205">
        <f>+F65*2.1411</f>
        <v>2.5264979999999997</v>
      </c>
      <c r="H65" s="228">
        <v>0.37</v>
      </c>
      <c r="I65" s="205">
        <f>+H65*2.85548</f>
        <v>1.0565275999999999</v>
      </c>
      <c r="J65" s="227"/>
      <c r="K65" s="259"/>
      <c r="L65" s="228"/>
      <c r="M65" s="259"/>
      <c r="N65" s="259"/>
      <c r="O65" s="266">
        <f>I65+G65</f>
        <v>3.5830255999999996</v>
      </c>
      <c r="P65" s="267">
        <f>O65*E65</f>
        <v>28.664204799999997</v>
      </c>
      <c r="Q65" s="82"/>
    </row>
    <row r="66" spans="1:17" ht="15.75">
      <c r="A66" s="228">
        <v>5</v>
      </c>
      <c r="B66" s="227"/>
      <c r="C66" s="227" t="s">
        <v>160</v>
      </c>
      <c r="D66" s="259" t="s">
        <v>80</v>
      </c>
      <c r="E66" s="259">
        <v>168.48</v>
      </c>
      <c r="F66" s="227"/>
      <c r="G66" s="205"/>
      <c r="H66" s="227"/>
      <c r="I66" s="205"/>
      <c r="J66" s="227" t="s">
        <v>156</v>
      </c>
      <c r="K66" s="228" t="s">
        <v>80</v>
      </c>
      <c r="L66" s="228">
        <v>1</v>
      </c>
      <c r="M66" s="228">
        <v>168.48</v>
      </c>
      <c r="N66" s="228">
        <v>6.7080000000000002</v>
      </c>
      <c r="O66" s="268">
        <f>N66*L66*1.132047</f>
        <v>7.593771276</v>
      </c>
      <c r="P66" s="259">
        <f>O66*E66</f>
        <v>1279.39858458048</v>
      </c>
      <c r="Q66" s="82"/>
    </row>
    <row r="67" spans="1:17" ht="15.75">
      <c r="A67" s="228"/>
      <c r="B67" s="227"/>
      <c r="C67" s="227"/>
      <c r="D67" s="227"/>
      <c r="E67" s="227"/>
      <c r="F67" s="227"/>
      <c r="G67" s="205"/>
      <c r="H67" s="227"/>
      <c r="I67" s="205"/>
      <c r="J67" s="227"/>
      <c r="K67" s="227"/>
      <c r="L67" s="227"/>
      <c r="M67" s="227"/>
      <c r="N67" s="227"/>
      <c r="O67" s="227"/>
      <c r="P67" s="259"/>
      <c r="Q67" s="82"/>
    </row>
    <row r="68" spans="1:17" ht="52.5" customHeight="1">
      <c r="A68" s="228">
        <v>6</v>
      </c>
      <c r="B68" s="262" t="s">
        <v>84</v>
      </c>
      <c r="C68" s="263" t="s">
        <v>162</v>
      </c>
      <c r="D68" s="249" t="s">
        <v>287</v>
      </c>
      <c r="E68" s="228">
        <v>33.450000000000003</v>
      </c>
      <c r="F68" s="228">
        <v>7.34</v>
      </c>
      <c r="G68" s="205">
        <f>+F68*2.1411</f>
        <v>15.715673999999998</v>
      </c>
      <c r="H68" s="228">
        <v>3.36</v>
      </c>
      <c r="I68" s="205">
        <f>+H68*2.85548</f>
        <v>9.5944127999999989</v>
      </c>
      <c r="J68" s="228" t="s">
        <v>163</v>
      </c>
      <c r="K68" s="249" t="s">
        <v>287</v>
      </c>
      <c r="L68" s="228">
        <v>1.0149999999999999</v>
      </c>
      <c r="M68" s="228">
        <f>L68*E68</f>
        <v>33.951749999999997</v>
      </c>
      <c r="N68" s="228">
        <v>35.625</v>
      </c>
      <c r="O68" s="267">
        <f>N68*L68*1.132047+I68+G68</f>
        <v>66.244198790624992</v>
      </c>
      <c r="P68" s="228">
        <f>O68*E68</f>
        <v>2215.8684495464063</v>
      </c>
      <c r="Q68" s="82"/>
    </row>
    <row r="69" spans="1:17" ht="15.75">
      <c r="A69" s="228"/>
      <c r="B69" s="227"/>
      <c r="C69" s="227"/>
      <c r="D69" s="227"/>
      <c r="E69" s="227"/>
      <c r="F69" s="227"/>
      <c r="G69" s="205"/>
      <c r="H69" s="227"/>
      <c r="I69" s="205"/>
      <c r="J69" s="227" t="s">
        <v>85</v>
      </c>
      <c r="K69" s="228" t="s">
        <v>80</v>
      </c>
      <c r="L69" s="259">
        <v>1.37</v>
      </c>
      <c r="M69" s="228">
        <f>L69*E68</f>
        <v>45.82650000000001</v>
      </c>
      <c r="N69" s="228">
        <v>3.5</v>
      </c>
      <c r="O69" s="228">
        <f>N69*L69*1.132047</f>
        <v>5.4281653649999999</v>
      </c>
      <c r="P69" s="228">
        <f>O69*E68</f>
        <v>181.57213145925002</v>
      </c>
      <c r="Q69" s="82"/>
    </row>
    <row r="70" spans="1:17" ht="18">
      <c r="A70" s="228"/>
      <c r="B70" s="227"/>
      <c r="C70" s="227"/>
      <c r="D70" s="227"/>
      <c r="E70" s="227"/>
      <c r="F70" s="227"/>
      <c r="G70" s="205"/>
      <c r="H70" s="227"/>
      <c r="I70" s="205"/>
      <c r="J70" s="227" t="s">
        <v>86</v>
      </c>
      <c r="K70" s="249" t="s">
        <v>287</v>
      </c>
      <c r="L70" s="259">
        <v>0.04</v>
      </c>
      <c r="M70" s="259">
        <f>L70*E68</f>
        <v>1.3380000000000001</v>
      </c>
      <c r="N70" s="259">
        <v>141.667</v>
      </c>
      <c r="O70" s="227">
        <f>N70*L70*1.132047</f>
        <v>6.4149480939600005</v>
      </c>
      <c r="P70" s="259">
        <f>O70*E68</f>
        <v>214.58001374296202</v>
      </c>
      <c r="Q70" s="82"/>
    </row>
    <row r="71" spans="1:17" ht="15.75">
      <c r="A71" s="228">
        <v>7</v>
      </c>
      <c r="B71" s="227"/>
      <c r="C71" s="227" t="s">
        <v>87</v>
      </c>
      <c r="D71" s="259" t="s">
        <v>83</v>
      </c>
      <c r="E71" s="259">
        <v>4.0860000000000003</v>
      </c>
      <c r="F71" s="227"/>
      <c r="G71" s="205"/>
      <c r="H71" s="227"/>
      <c r="I71" s="205"/>
      <c r="J71" s="227" t="s">
        <v>82</v>
      </c>
      <c r="K71" s="227"/>
      <c r="L71" s="259">
        <v>1</v>
      </c>
      <c r="M71" s="259">
        <v>4.0860000000000003</v>
      </c>
      <c r="N71" s="259">
        <v>230</v>
      </c>
      <c r="O71" s="227">
        <f>N71*L71*1.132047</f>
        <v>260.37081000000001</v>
      </c>
      <c r="P71" s="259">
        <f>O71*E71</f>
        <v>1063.8751296600001</v>
      </c>
      <c r="Q71" s="82"/>
    </row>
    <row r="72" spans="1:17" ht="36" customHeight="1">
      <c r="A72" s="228"/>
      <c r="B72" s="227"/>
      <c r="C72" s="227"/>
      <c r="D72" s="259"/>
      <c r="E72" s="259"/>
      <c r="F72" s="227"/>
      <c r="G72" s="205"/>
      <c r="H72" s="227"/>
      <c r="I72" s="205"/>
      <c r="J72" s="227"/>
      <c r="K72" s="227"/>
      <c r="L72" s="259"/>
      <c r="M72" s="259"/>
      <c r="N72" s="259"/>
      <c r="O72" s="227"/>
      <c r="P72" s="259"/>
      <c r="Q72" s="82"/>
    </row>
    <row r="73" spans="1:17" ht="15.75">
      <c r="A73" s="228"/>
      <c r="B73" s="227"/>
      <c r="C73" s="227"/>
      <c r="D73" s="227"/>
      <c r="E73" s="227"/>
      <c r="F73" s="227"/>
      <c r="G73" s="205"/>
      <c r="H73" s="227"/>
      <c r="I73" s="205"/>
      <c r="J73" s="227"/>
      <c r="K73" s="227"/>
      <c r="L73" s="227"/>
      <c r="M73" s="227"/>
      <c r="N73" s="227"/>
      <c r="O73" s="227"/>
      <c r="P73" s="259"/>
      <c r="Q73" s="82"/>
    </row>
    <row r="74" spans="1:17" ht="15.75">
      <c r="A74" s="228"/>
      <c r="B74" s="227"/>
      <c r="C74" s="227"/>
      <c r="D74" s="227"/>
      <c r="E74" s="227"/>
      <c r="F74" s="227"/>
      <c r="G74" s="205"/>
      <c r="H74" s="227"/>
      <c r="I74" s="205"/>
      <c r="J74" s="227"/>
      <c r="K74" s="227"/>
      <c r="L74" s="227"/>
      <c r="M74" s="227"/>
      <c r="N74" s="227"/>
      <c r="O74" s="227"/>
      <c r="P74" s="259"/>
      <c r="Q74" s="82"/>
    </row>
    <row r="75" spans="1:17" ht="30">
      <c r="A75" s="228">
        <v>8</v>
      </c>
      <c r="B75" s="136" t="s">
        <v>89</v>
      </c>
      <c r="C75" s="137" t="s">
        <v>164</v>
      </c>
      <c r="D75" s="135" t="s">
        <v>287</v>
      </c>
      <c r="E75" s="164">
        <v>4.78</v>
      </c>
      <c r="F75" s="164">
        <v>4.91</v>
      </c>
      <c r="G75" s="205">
        <f t="shared" ref="G75:G81" si="6">+F75*2.1411</f>
        <v>10.512801</v>
      </c>
      <c r="H75" s="269">
        <v>1.06</v>
      </c>
      <c r="I75" s="205">
        <f t="shared" ref="I75:I81" si="7">+H75*2.85548</f>
        <v>3.0268088</v>
      </c>
      <c r="J75" s="137" t="s">
        <v>92</v>
      </c>
      <c r="K75" s="135" t="s">
        <v>287</v>
      </c>
      <c r="L75" s="239">
        <v>1.0149999999999999</v>
      </c>
      <c r="M75" s="164">
        <f>L75*E75</f>
        <v>4.8517000000000001</v>
      </c>
      <c r="N75" s="228">
        <v>35.625</v>
      </c>
      <c r="O75" s="227"/>
      <c r="P75" s="259"/>
      <c r="Q75" s="82"/>
    </row>
    <row r="76" spans="1:17" ht="30">
      <c r="A76" s="228"/>
      <c r="B76" s="227"/>
      <c r="C76" s="227"/>
      <c r="D76" s="135"/>
      <c r="E76" s="164"/>
      <c r="F76" s="164"/>
      <c r="G76" s="205"/>
      <c r="H76" s="269"/>
      <c r="I76" s="205"/>
      <c r="J76" s="137" t="s">
        <v>90</v>
      </c>
      <c r="K76" s="135" t="s">
        <v>286</v>
      </c>
      <c r="L76" s="239">
        <v>1.4</v>
      </c>
      <c r="M76" s="164">
        <f>L76*E75</f>
        <v>6.6920000000000002</v>
      </c>
      <c r="N76" s="112">
        <v>3.5</v>
      </c>
      <c r="O76" s="259">
        <f>(N76*L76+N75*L75+N77*L77+N78*L78)*1.132047+G75+I75</f>
        <v>64.516870897185498</v>
      </c>
      <c r="P76" s="259">
        <f>+O76*E75</f>
        <v>308.39064288854672</v>
      </c>
      <c r="Q76" s="82"/>
    </row>
    <row r="77" spans="1:17" ht="18">
      <c r="A77" s="228"/>
      <c r="B77" s="227"/>
      <c r="C77" s="227"/>
      <c r="D77" s="135"/>
      <c r="E77" s="164"/>
      <c r="F77" s="164"/>
      <c r="G77" s="205"/>
      <c r="H77" s="269"/>
      <c r="I77" s="205"/>
      <c r="J77" s="137" t="s">
        <v>51</v>
      </c>
      <c r="K77" s="135" t="s">
        <v>287</v>
      </c>
      <c r="L77" s="239">
        <v>1.4500000000000001E-2</v>
      </c>
      <c r="M77" s="164">
        <f>L77*E75</f>
        <v>6.931000000000001E-2</v>
      </c>
      <c r="N77" s="259">
        <v>141.667</v>
      </c>
      <c r="O77" s="227"/>
      <c r="P77" s="259"/>
      <c r="Q77" s="82"/>
    </row>
    <row r="78" spans="1:17" ht="15.75">
      <c r="A78" s="228"/>
      <c r="B78" s="227"/>
      <c r="C78" s="227"/>
      <c r="D78" s="135"/>
      <c r="E78" s="164"/>
      <c r="F78" s="164"/>
      <c r="G78" s="205"/>
      <c r="H78" s="269"/>
      <c r="I78" s="205"/>
      <c r="J78" s="137" t="s">
        <v>91</v>
      </c>
      <c r="K78" s="135" t="s">
        <v>25</v>
      </c>
      <c r="L78" s="239">
        <v>2.5000000000000001E-3</v>
      </c>
      <c r="M78" s="164">
        <f>L78*E75</f>
        <v>1.1950000000000001E-2</v>
      </c>
      <c r="N78" s="112">
        <v>767</v>
      </c>
      <c r="O78" s="227"/>
      <c r="P78" s="259"/>
      <c r="Q78" s="82"/>
    </row>
    <row r="79" spans="1:17" ht="15.75">
      <c r="A79" s="228">
        <v>9</v>
      </c>
      <c r="B79" s="227"/>
      <c r="C79" s="137" t="s">
        <v>93</v>
      </c>
      <c r="D79" s="164" t="s">
        <v>83</v>
      </c>
      <c r="E79" s="164">
        <v>0.97599999999999998</v>
      </c>
      <c r="F79" s="270"/>
      <c r="G79" s="205"/>
      <c r="H79" s="112"/>
      <c r="I79" s="205"/>
      <c r="J79" s="137" t="s">
        <v>93</v>
      </c>
      <c r="K79" s="239" t="s">
        <v>83</v>
      </c>
      <c r="L79" s="164">
        <v>1</v>
      </c>
      <c r="M79" s="112">
        <f>L79*E79</f>
        <v>0.97599999999999998</v>
      </c>
      <c r="N79" s="259">
        <v>230</v>
      </c>
      <c r="O79" s="227">
        <f>+N79*1.132047</f>
        <v>260.37081000000001</v>
      </c>
      <c r="P79" s="259">
        <f>+O79*E79</f>
        <v>254.12191056</v>
      </c>
      <c r="Q79" s="82"/>
    </row>
    <row r="80" spans="1:17" ht="15.75">
      <c r="A80" s="228"/>
      <c r="B80" s="227"/>
      <c r="C80" s="227"/>
      <c r="D80" s="227"/>
      <c r="E80" s="227"/>
      <c r="F80" s="227"/>
      <c r="G80" s="205"/>
      <c r="H80" s="227"/>
      <c r="I80" s="205"/>
      <c r="J80" s="227"/>
      <c r="K80" s="227"/>
      <c r="L80" s="227"/>
      <c r="M80" s="227"/>
      <c r="N80" s="227"/>
      <c r="O80" s="227"/>
      <c r="P80" s="259"/>
      <c r="Q80" s="82"/>
    </row>
    <row r="81" spans="1:18" ht="30">
      <c r="A81" s="228">
        <v>10</v>
      </c>
      <c r="B81" s="136" t="s">
        <v>89</v>
      </c>
      <c r="C81" s="137" t="s">
        <v>165</v>
      </c>
      <c r="D81" s="135" t="s">
        <v>287</v>
      </c>
      <c r="E81" s="164">
        <v>8.1999999999999993</v>
      </c>
      <c r="F81" s="164">
        <v>4.91</v>
      </c>
      <c r="G81" s="205">
        <f t="shared" si="6"/>
        <v>10.512801</v>
      </c>
      <c r="H81" s="269">
        <v>1.06</v>
      </c>
      <c r="I81" s="205">
        <f t="shared" si="7"/>
        <v>3.0268088</v>
      </c>
      <c r="J81" s="137" t="s">
        <v>92</v>
      </c>
      <c r="K81" s="135" t="s">
        <v>287</v>
      </c>
      <c r="L81" s="239">
        <v>1.0149999999999999</v>
      </c>
      <c r="M81" s="164">
        <f>L81*E81</f>
        <v>8.3229999999999986</v>
      </c>
      <c r="N81" s="228">
        <v>35.625</v>
      </c>
      <c r="O81" s="227"/>
      <c r="P81" s="259"/>
      <c r="Q81" s="82"/>
    </row>
    <row r="82" spans="1:18" ht="30">
      <c r="A82" s="135"/>
      <c r="B82" s="136"/>
      <c r="C82" s="137"/>
      <c r="D82" s="135"/>
      <c r="E82" s="164"/>
      <c r="F82" s="164"/>
      <c r="G82" s="270"/>
      <c r="H82" s="269"/>
      <c r="I82" s="112"/>
      <c r="J82" s="137" t="s">
        <v>90</v>
      </c>
      <c r="K82" s="135" t="s">
        <v>286</v>
      </c>
      <c r="L82" s="239">
        <v>1.4</v>
      </c>
      <c r="M82" s="164">
        <f>L82*E81</f>
        <v>11.479999999999999</v>
      </c>
      <c r="N82" s="112">
        <v>3.5</v>
      </c>
      <c r="O82" s="259">
        <f>(N82*L82+N81*L81+N83*L83+N84*L84)*1.132047+G81+I81</f>
        <v>64.516870897185498</v>
      </c>
      <c r="P82" s="259">
        <f>+O82*E81</f>
        <v>529.03834135692102</v>
      </c>
      <c r="Q82" s="82"/>
    </row>
    <row r="83" spans="1:18" ht="18">
      <c r="A83" s="135"/>
      <c r="B83" s="136"/>
      <c r="C83" s="137"/>
      <c r="D83" s="135"/>
      <c r="E83" s="164"/>
      <c r="F83" s="164"/>
      <c r="G83" s="270"/>
      <c r="H83" s="269"/>
      <c r="I83" s="112"/>
      <c r="J83" s="137" t="s">
        <v>51</v>
      </c>
      <c r="K83" s="135" t="s">
        <v>287</v>
      </c>
      <c r="L83" s="239">
        <v>1.4500000000000001E-2</v>
      </c>
      <c r="M83" s="164">
        <f>L83*E81</f>
        <v>0.11889999999999999</v>
      </c>
      <c r="N83" s="259">
        <v>141.667</v>
      </c>
      <c r="O83" s="227"/>
      <c r="P83" s="259"/>
      <c r="Q83" s="82"/>
    </row>
    <row r="84" spans="1:18" ht="15.75">
      <c r="A84" s="228"/>
      <c r="B84" s="227"/>
      <c r="C84" s="227"/>
      <c r="D84" s="135"/>
      <c r="E84" s="164"/>
      <c r="F84" s="164"/>
      <c r="G84" s="270"/>
      <c r="H84" s="269"/>
      <c r="I84" s="112"/>
      <c r="J84" s="137" t="s">
        <v>91</v>
      </c>
      <c r="K84" s="135" t="s">
        <v>25</v>
      </c>
      <c r="L84" s="239">
        <v>2.5000000000000001E-3</v>
      </c>
      <c r="M84" s="164">
        <f>L84*E81</f>
        <v>2.0499999999999997E-2</v>
      </c>
      <c r="N84" s="112">
        <v>767</v>
      </c>
      <c r="O84" s="227"/>
      <c r="P84" s="259"/>
      <c r="Q84" s="82"/>
    </row>
    <row r="85" spans="1:18" ht="15.75">
      <c r="A85" s="228">
        <v>11</v>
      </c>
      <c r="B85" s="227"/>
      <c r="C85" s="227" t="s">
        <v>87</v>
      </c>
      <c r="D85" s="164" t="s">
        <v>83</v>
      </c>
      <c r="E85" s="164">
        <v>1.2809999999999999</v>
      </c>
      <c r="F85" s="270"/>
      <c r="G85" s="269"/>
      <c r="H85" s="112"/>
      <c r="I85" s="137"/>
      <c r="J85" s="137" t="s">
        <v>93</v>
      </c>
      <c r="K85" s="239" t="s">
        <v>83</v>
      </c>
      <c r="L85" s="164">
        <v>1</v>
      </c>
      <c r="M85" s="112">
        <f>L85*E85</f>
        <v>1.2809999999999999</v>
      </c>
      <c r="N85" s="259">
        <v>230</v>
      </c>
      <c r="O85" s="227">
        <f>N85*L85*1.132047</f>
        <v>260.37081000000001</v>
      </c>
      <c r="P85" s="259">
        <f>+O85*E85</f>
        <v>333.53500760999998</v>
      </c>
      <c r="Q85" s="82"/>
    </row>
    <row r="86" spans="1:18">
      <c r="A86" s="228"/>
      <c r="B86" s="136"/>
      <c r="C86" s="137"/>
      <c r="D86" s="135"/>
      <c r="E86" s="164"/>
      <c r="F86" s="164"/>
      <c r="G86" s="112"/>
      <c r="H86" s="164"/>
      <c r="I86" s="112"/>
      <c r="J86" s="137"/>
      <c r="K86" s="135"/>
      <c r="L86" s="164"/>
      <c r="M86" s="164"/>
      <c r="N86" s="112"/>
      <c r="O86" s="112"/>
      <c r="P86" s="112"/>
      <c r="Q86" s="82"/>
    </row>
    <row r="87" spans="1:18">
      <c r="A87" s="228"/>
      <c r="B87" s="271"/>
      <c r="C87" s="137"/>
      <c r="D87" s="135"/>
      <c r="E87" s="164"/>
      <c r="F87" s="164"/>
      <c r="G87" s="112"/>
      <c r="H87" s="164"/>
      <c r="I87" s="112"/>
      <c r="J87" s="137"/>
      <c r="K87" s="135"/>
      <c r="L87" s="164"/>
      <c r="M87" s="164"/>
      <c r="N87" s="112"/>
      <c r="O87" s="112"/>
      <c r="P87" s="112"/>
      <c r="Q87" s="82"/>
    </row>
    <row r="88" spans="1:18" ht="15.75">
      <c r="A88" s="228"/>
      <c r="B88" s="227"/>
      <c r="C88" s="227"/>
      <c r="D88" s="227"/>
      <c r="E88" s="227"/>
      <c r="F88" s="227"/>
      <c r="G88" s="227"/>
      <c r="H88" s="227"/>
      <c r="I88" s="227"/>
      <c r="J88" s="272" t="s">
        <v>75</v>
      </c>
      <c r="K88" s="227"/>
      <c r="L88" s="227"/>
      <c r="M88" s="227"/>
      <c r="N88" s="227"/>
      <c r="O88" s="227"/>
      <c r="P88" s="259">
        <f>+P85+P82+P79+P76+P71+P70+P69+P68+P66+P65+P63+P61+P60+P59+P58</f>
        <v>7208.7625488646408</v>
      </c>
      <c r="Q88" s="82"/>
    </row>
    <row r="89" spans="1:18" ht="15.75">
      <c r="A89" s="228"/>
      <c r="B89" s="136"/>
      <c r="C89" s="137"/>
      <c r="D89" s="135"/>
      <c r="E89" s="164"/>
      <c r="F89" s="164"/>
      <c r="G89" s="112"/>
      <c r="H89" s="164"/>
      <c r="I89" s="112"/>
      <c r="J89" s="227" t="s">
        <v>76</v>
      </c>
      <c r="K89" s="227"/>
      <c r="L89" s="227"/>
      <c r="M89" s="205"/>
      <c r="N89" s="205"/>
      <c r="O89" s="205"/>
      <c r="P89" s="259">
        <f>+P88*13.3/100</f>
        <v>958.76541899899735</v>
      </c>
      <c r="Q89" s="82"/>
    </row>
    <row r="90" spans="1:18" ht="15.75">
      <c r="A90" s="228"/>
      <c r="B90" s="271"/>
      <c r="C90" s="137"/>
      <c r="D90" s="135"/>
      <c r="E90" s="164"/>
      <c r="F90" s="164"/>
      <c r="G90" s="112"/>
      <c r="H90" s="164"/>
      <c r="I90" s="112"/>
      <c r="J90" s="227"/>
      <c r="K90" s="227"/>
      <c r="L90" s="227"/>
      <c r="M90" s="205"/>
      <c r="N90" s="205"/>
      <c r="O90" s="205"/>
      <c r="P90" s="259"/>
      <c r="Q90" s="82"/>
    </row>
    <row r="91" spans="1:18" ht="15.75">
      <c r="A91" s="228"/>
      <c r="B91" s="271"/>
      <c r="C91" s="273"/>
      <c r="D91" s="269"/>
      <c r="E91" s="164"/>
      <c r="F91" s="164"/>
      <c r="G91" s="112"/>
      <c r="H91" s="164"/>
      <c r="I91" s="112"/>
      <c r="J91" s="227" t="s">
        <v>75</v>
      </c>
      <c r="K91" s="227"/>
      <c r="L91" s="227"/>
      <c r="M91" s="205"/>
      <c r="N91" s="205"/>
      <c r="O91" s="205"/>
      <c r="P91" s="258">
        <f>P89+P88</f>
        <v>8167.527967863638</v>
      </c>
      <c r="Q91" s="82"/>
    </row>
    <row r="92" spans="1:18" ht="15.75">
      <c r="A92" s="228"/>
      <c r="B92" s="271"/>
      <c r="C92" s="273"/>
      <c r="D92" s="269"/>
      <c r="E92" s="164"/>
      <c r="F92" s="164"/>
      <c r="G92" s="112"/>
      <c r="H92" s="164"/>
      <c r="I92" s="112"/>
      <c r="J92" s="227"/>
      <c r="K92" s="227"/>
      <c r="L92" s="227"/>
      <c r="M92" s="205"/>
      <c r="N92" s="205"/>
      <c r="O92" s="205"/>
      <c r="P92" s="259"/>
      <c r="Q92" s="82"/>
    </row>
    <row r="93" spans="1:18" ht="15.75">
      <c r="A93" s="228"/>
      <c r="B93" s="136"/>
      <c r="C93" s="137"/>
      <c r="D93" s="130"/>
      <c r="E93" s="164"/>
      <c r="F93" s="164"/>
      <c r="G93" s="112"/>
      <c r="H93" s="164"/>
      <c r="I93" s="112"/>
      <c r="J93" s="227" t="s">
        <v>126</v>
      </c>
      <c r="K93" s="260">
        <v>0.11</v>
      </c>
      <c r="L93" s="227"/>
      <c r="M93" s="205"/>
      <c r="N93" s="205"/>
      <c r="O93" s="205"/>
      <c r="P93" s="259">
        <f>P91*11/100</f>
        <v>898.42807646500023</v>
      </c>
      <c r="Q93" s="82"/>
    </row>
    <row r="94" spans="1:18" ht="15.75">
      <c r="A94" s="228"/>
      <c r="B94" s="136"/>
      <c r="C94" s="137"/>
      <c r="D94" s="130"/>
      <c r="E94" s="164"/>
      <c r="F94" s="164"/>
      <c r="G94" s="112"/>
      <c r="H94" s="164"/>
      <c r="I94" s="112"/>
      <c r="J94" s="227"/>
      <c r="K94" s="227"/>
      <c r="L94" s="227"/>
      <c r="M94" s="205"/>
      <c r="N94" s="205"/>
      <c r="O94" s="205"/>
      <c r="P94" s="259"/>
      <c r="Q94" s="82"/>
    </row>
    <row r="95" spans="1:18" ht="15.75">
      <c r="A95" s="228"/>
      <c r="B95" s="227"/>
      <c r="C95" s="227"/>
      <c r="D95" s="227"/>
      <c r="E95" s="227"/>
      <c r="F95" s="227"/>
      <c r="G95" s="227"/>
      <c r="H95" s="227"/>
      <c r="I95" s="227"/>
      <c r="J95" s="257" t="s">
        <v>75</v>
      </c>
      <c r="K95" s="227"/>
      <c r="L95" s="227"/>
      <c r="M95" s="205"/>
      <c r="N95" s="205"/>
      <c r="O95" s="205"/>
      <c r="P95" s="274">
        <f>P93+P91</f>
        <v>9065.9560443286391</v>
      </c>
      <c r="Q95" s="82"/>
      <c r="R95" s="111"/>
    </row>
    <row r="96" spans="1:18" ht="15.75">
      <c r="A96" s="227"/>
      <c r="B96" s="256"/>
      <c r="C96" s="256"/>
      <c r="D96" s="256"/>
      <c r="E96" s="256"/>
      <c r="F96" s="256"/>
      <c r="G96" s="256"/>
      <c r="H96" s="256"/>
      <c r="I96" s="256"/>
      <c r="J96" s="256"/>
      <c r="K96" s="256"/>
      <c r="L96" s="256"/>
      <c r="M96" s="256"/>
      <c r="N96" s="256"/>
      <c r="O96" s="256"/>
      <c r="P96" s="256"/>
    </row>
    <row r="97" spans="1:17" ht="15.75">
      <c r="A97" s="227"/>
      <c r="B97" s="256"/>
      <c r="C97" s="256"/>
      <c r="D97" s="256"/>
      <c r="E97" s="256"/>
      <c r="F97" s="256"/>
      <c r="G97" s="256"/>
      <c r="H97" s="256"/>
      <c r="I97" s="256"/>
      <c r="J97" s="256"/>
      <c r="K97" s="256"/>
      <c r="L97" s="256"/>
      <c r="M97" s="256"/>
      <c r="N97" s="256"/>
      <c r="O97" s="256"/>
      <c r="P97" s="256"/>
    </row>
    <row r="98" spans="1:17" ht="15.75">
      <c r="A98" s="227"/>
      <c r="B98" s="256"/>
      <c r="C98" s="256"/>
      <c r="D98" s="256"/>
      <c r="E98" s="256"/>
      <c r="F98" s="256"/>
      <c r="G98" s="256"/>
      <c r="H98" s="256"/>
      <c r="I98" s="256"/>
      <c r="J98" s="256"/>
      <c r="K98" s="256"/>
      <c r="L98" s="256"/>
      <c r="M98" s="256"/>
      <c r="N98" s="256"/>
      <c r="O98" s="256"/>
      <c r="P98" s="256"/>
    </row>
    <row r="99" spans="1:17" ht="15.75">
      <c r="A99" s="227"/>
      <c r="B99" s="256"/>
      <c r="C99" s="256"/>
      <c r="D99" s="256"/>
      <c r="E99" s="256"/>
      <c r="F99" s="256"/>
      <c r="G99" s="256"/>
      <c r="H99" s="256"/>
      <c r="I99" s="256"/>
      <c r="J99" s="256"/>
      <c r="K99" s="256"/>
      <c r="L99" s="256"/>
      <c r="M99" s="256"/>
      <c r="N99" s="256"/>
      <c r="O99" s="256"/>
      <c r="P99" s="256"/>
    </row>
    <row r="100" spans="1:17" ht="15.75">
      <c r="A100" s="228"/>
      <c r="B100" s="227"/>
      <c r="C100" s="227"/>
      <c r="D100" s="227"/>
      <c r="E100" s="227"/>
      <c r="F100" s="370" t="s">
        <v>105</v>
      </c>
      <c r="G100" s="370"/>
      <c r="H100" s="370"/>
      <c r="I100" s="370"/>
      <c r="J100" s="257"/>
      <c r="K100" s="227"/>
      <c r="L100" s="227"/>
      <c r="M100" s="205"/>
      <c r="N100" s="205"/>
      <c r="O100" s="205"/>
      <c r="P100" s="258"/>
      <c r="Q100" s="82"/>
    </row>
    <row r="101" spans="1:17" ht="15.75">
      <c r="A101" s="228"/>
      <c r="B101" s="227"/>
      <c r="C101" s="227"/>
      <c r="D101" s="227"/>
      <c r="E101" s="227"/>
      <c r="F101" s="227"/>
      <c r="G101" s="227"/>
      <c r="H101" s="227"/>
      <c r="I101" s="227"/>
      <c r="J101" s="227"/>
      <c r="K101" s="227"/>
      <c r="L101" s="227"/>
      <c r="M101" s="227"/>
      <c r="N101" s="227"/>
      <c r="O101" s="227"/>
      <c r="P101" s="259"/>
      <c r="Q101" s="82"/>
    </row>
    <row r="102" spans="1:17" ht="45">
      <c r="A102" s="228">
        <v>1</v>
      </c>
      <c r="B102" s="136" t="s">
        <v>97</v>
      </c>
      <c r="C102" s="137" t="s">
        <v>170</v>
      </c>
      <c r="D102" s="135" t="s">
        <v>287</v>
      </c>
      <c r="E102" s="164">
        <v>5.62</v>
      </c>
      <c r="F102" s="164">
        <v>1.62</v>
      </c>
      <c r="G102" s="112">
        <f>F102*2.1411</f>
        <v>3.4685820000000001</v>
      </c>
      <c r="H102" s="164"/>
      <c r="I102" s="112"/>
      <c r="J102" s="137" t="s">
        <v>98</v>
      </c>
      <c r="K102" s="135" t="s">
        <v>287</v>
      </c>
      <c r="L102" s="164">
        <v>1.02</v>
      </c>
      <c r="M102" s="164">
        <f>L102*E102</f>
        <v>5.7324000000000002</v>
      </c>
      <c r="N102" s="112">
        <v>21.972000000000001</v>
      </c>
      <c r="O102" s="112">
        <f>N102*L102*1.132047+G102+I102</f>
        <v>28.839385417680006</v>
      </c>
      <c r="P102" s="112">
        <f>E102*O102</f>
        <v>162.07734604736163</v>
      </c>
      <c r="Q102" s="82"/>
    </row>
    <row r="103" spans="1:17" ht="15.75">
      <c r="A103" s="228"/>
      <c r="B103" s="227"/>
      <c r="C103" s="227"/>
      <c r="D103" s="227"/>
      <c r="E103" s="227"/>
      <c r="F103" s="227"/>
      <c r="G103" s="112"/>
      <c r="H103" s="227"/>
      <c r="I103" s="227"/>
      <c r="J103" s="227"/>
      <c r="K103" s="227"/>
      <c r="L103" s="227"/>
      <c r="M103" s="227"/>
      <c r="N103" s="227"/>
      <c r="O103" s="112"/>
      <c r="P103" s="259"/>
      <c r="Q103" s="82"/>
    </row>
    <row r="104" spans="1:17" ht="30">
      <c r="A104" s="228">
        <v>2</v>
      </c>
      <c r="B104" s="136" t="s">
        <v>99</v>
      </c>
      <c r="C104" s="137" t="s">
        <v>171</v>
      </c>
      <c r="D104" s="135" t="s">
        <v>285</v>
      </c>
      <c r="E104" s="164">
        <v>1.29</v>
      </c>
      <c r="F104" s="164">
        <v>96.6</v>
      </c>
      <c r="G104" s="112">
        <f t="shared" ref="G104:G109" si="8">F104*2.1411</f>
        <v>206.83025999999995</v>
      </c>
      <c r="H104" s="164">
        <v>10.199999999999999</v>
      </c>
      <c r="I104" s="112">
        <f>H104*2.85548</f>
        <v>29.125895999999997</v>
      </c>
      <c r="J104" s="137" t="s">
        <v>94</v>
      </c>
      <c r="K104" s="135" t="s">
        <v>287</v>
      </c>
      <c r="L104" s="164">
        <v>2.04</v>
      </c>
      <c r="M104" s="164">
        <f>L104*E104</f>
        <v>2.6316000000000002</v>
      </c>
      <c r="N104" s="112">
        <v>26</v>
      </c>
      <c r="O104" s="112">
        <f t="shared" ref="O104" si="9">N104*L104*1.132047+G104+I104</f>
        <v>295.99992887999997</v>
      </c>
      <c r="P104" s="112">
        <f>E104*O104</f>
        <v>381.83990825519999</v>
      </c>
      <c r="Q104" s="82"/>
    </row>
    <row r="105" spans="1:17" ht="15.75">
      <c r="A105" s="228"/>
      <c r="B105" s="227"/>
      <c r="C105" s="227"/>
      <c r="D105" s="227"/>
      <c r="E105" s="227"/>
      <c r="F105" s="227"/>
      <c r="G105" s="112"/>
      <c r="H105" s="227"/>
      <c r="I105" s="112"/>
      <c r="J105" s="227"/>
      <c r="K105" s="227"/>
      <c r="L105" s="227"/>
      <c r="M105" s="227"/>
      <c r="N105" s="227"/>
      <c r="O105" s="227"/>
      <c r="P105" s="259"/>
      <c r="Q105" s="82"/>
    </row>
    <row r="106" spans="1:17" ht="30">
      <c r="A106" s="228">
        <v>3</v>
      </c>
      <c r="B106" s="275" t="s">
        <v>100</v>
      </c>
      <c r="C106" s="276" t="s">
        <v>101</v>
      </c>
      <c r="D106" s="277" t="s">
        <v>285</v>
      </c>
      <c r="E106" s="164">
        <v>0.31580000000000003</v>
      </c>
      <c r="F106" s="164">
        <v>61.4</v>
      </c>
      <c r="G106" s="112">
        <f t="shared" si="8"/>
        <v>131.46353999999999</v>
      </c>
      <c r="H106" s="164">
        <v>4.5199999999999996</v>
      </c>
      <c r="I106" s="112">
        <f t="shared" ref="I106:I109" si="10">H106*2.85548</f>
        <v>12.906769599999999</v>
      </c>
      <c r="J106" s="276" t="s">
        <v>102</v>
      </c>
      <c r="K106" s="277" t="s">
        <v>285</v>
      </c>
      <c r="L106" s="170">
        <v>102</v>
      </c>
      <c r="M106" s="170">
        <f>L106*E106</f>
        <v>32.211600000000004</v>
      </c>
      <c r="N106" s="170">
        <v>4.5</v>
      </c>
      <c r="O106" s="352">
        <f>((L106*N106)+(L107*N107))*1.12455+G106+I106</f>
        <v>725.74016859999995</v>
      </c>
      <c r="P106" s="352">
        <f>O106*E106</f>
        <v>229.18874524387999</v>
      </c>
      <c r="Q106" s="82"/>
    </row>
    <row r="107" spans="1:17" ht="18">
      <c r="A107" s="228"/>
      <c r="B107" s="271"/>
      <c r="C107" s="137"/>
      <c r="D107" s="278"/>
      <c r="E107" s="164"/>
      <c r="F107" s="164"/>
      <c r="G107" s="112"/>
      <c r="H107" s="164"/>
      <c r="I107" s="112"/>
      <c r="J107" s="279" t="s">
        <v>96</v>
      </c>
      <c r="K107" s="135" t="s">
        <v>287</v>
      </c>
      <c r="L107" s="164">
        <v>2.23</v>
      </c>
      <c r="M107" s="164">
        <f>L107*E106</f>
        <v>0.70423400000000003</v>
      </c>
      <c r="N107" s="112">
        <v>26</v>
      </c>
      <c r="O107" s="352"/>
      <c r="P107" s="352"/>
      <c r="Q107" s="82"/>
    </row>
    <row r="108" spans="1:17" ht="15.75">
      <c r="A108" s="228"/>
      <c r="B108" s="227"/>
      <c r="C108" s="227"/>
      <c r="D108" s="227"/>
      <c r="E108" s="227"/>
      <c r="F108" s="227"/>
      <c r="G108" s="112"/>
      <c r="H108" s="227"/>
      <c r="I108" s="112"/>
      <c r="J108" s="227"/>
      <c r="K108" s="227"/>
      <c r="L108" s="227"/>
      <c r="M108" s="227"/>
      <c r="N108" s="227"/>
      <c r="O108" s="227"/>
      <c r="P108" s="259"/>
      <c r="Q108" s="82"/>
    </row>
    <row r="109" spans="1:17" ht="45">
      <c r="A109" s="228">
        <v>4</v>
      </c>
      <c r="B109" s="136" t="s">
        <v>103</v>
      </c>
      <c r="C109" s="137" t="s">
        <v>168</v>
      </c>
      <c r="D109" s="135" t="s">
        <v>286</v>
      </c>
      <c r="E109" s="164">
        <v>128.99</v>
      </c>
      <c r="F109" s="164">
        <v>0.56000000000000005</v>
      </c>
      <c r="G109" s="112">
        <f t="shared" si="8"/>
        <v>1.1990160000000001</v>
      </c>
      <c r="H109" s="164">
        <v>0.03</v>
      </c>
      <c r="I109" s="112">
        <f t="shared" si="10"/>
        <v>8.5664400000000002E-2</v>
      </c>
      <c r="J109" s="137" t="s">
        <v>169</v>
      </c>
      <c r="K109" s="135" t="s">
        <v>286</v>
      </c>
      <c r="L109" s="164">
        <v>1.02</v>
      </c>
      <c r="M109" s="164">
        <f>L109*E109</f>
        <v>131.56980000000001</v>
      </c>
      <c r="N109" s="112">
        <v>3.3889999999999998</v>
      </c>
      <c r="O109" s="112">
        <f>N109*L109*1.132047+I109+G109</f>
        <v>5.1979178286600005</v>
      </c>
      <c r="P109" s="112">
        <f>O109*E109</f>
        <v>670.47942071885348</v>
      </c>
      <c r="Q109" s="82"/>
    </row>
    <row r="110" spans="1:17" ht="14.25" customHeight="1">
      <c r="A110" s="228"/>
      <c r="B110" s="271"/>
      <c r="C110" s="137"/>
      <c r="D110" s="278"/>
      <c r="E110" s="164"/>
      <c r="F110" s="164"/>
      <c r="G110" s="112"/>
      <c r="H110" s="164"/>
      <c r="I110" s="112"/>
      <c r="J110" s="137"/>
      <c r="K110" s="135"/>
      <c r="L110" s="164"/>
      <c r="M110" s="164"/>
      <c r="N110" s="112"/>
      <c r="O110" s="112"/>
      <c r="P110" s="112"/>
      <c r="Q110" s="82"/>
    </row>
    <row r="111" spans="1:17" hidden="1">
      <c r="A111" s="228"/>
      <c r="B111" s="271"/>
      <c r="C111" s="137"/>
      <c r="D111" s="135"/>
      <c r="E111" s="164"/>
      <c r="F111" s="164"/>
      <c r="G111" s="112"/>
      <c r="H111" s="164"/>
      <c r="I111" s="112"/>
      <c r="J111" s="137"/>
      <c r="K111" s="135"/>
      <c r="L111" s="164"/>
      <c r="M111" s="164"/>
      <c r="N111" s="112"/>
      <c r="O111" s="112"/>
      <c r="P111" s="112"/>
      <c r="Q111" s="82"/>
    </row>
    <row r="112" spans="1:17" ht="15.75" hidden="1">
      <c r="A112" s="228"/>
      <c r="B112" s="227"/>
      <c r="C112" s="227"/>
      <c r="D112" s="227"/>
      <c r="E112" s="227"/>
      <c r="F112" s="227"/>
      <c r="G112" s="227"/>
      <c r="H112" s="227"/>
      <c r="I112" s="227"/>
      <c r="J112" s="227"/>
      <c r="K112" s="227"/>
      <c r="L112" s="227"/>
      <c r="M112" s="227"/>
      <c r="N112" s="227"/>
      <c r="O112" s="227"/>
      <c r="P112" s="259"/>
      <c r="Q112" s="82"/>
    </row>
    <row r="113" spans="1:17" hidden="1">
      <c r="A113" s="228"/>
      <c r="B113" s="136"/>
      <c r="C113" s="137"/>
      <c r="D113" s="135"/>
      <c r="E113" s="164"/>
      <c r="F113" s="164"/>
      <c r="G113" s="112"/>
      <c r="H113" s="164"/>
      <c r="I113" s="112"/>
      <c r="J113" s="137"/>
      <c r="K113" s="135"/>
      <c r="L113" s="164"/>
      <c r="M113" s="164"/>
      <c r="N113" s="112"/>
      <c r="O113" s="170"/>
      <c r="P113" s="112"/>
      <c r="Q113" s="82"/>
    </row>
    <row r="114" spans="1:17" hidden="1">
      <c r="A114" s="228"/>
      <c r="B114" s="136"/>
      <c r="C114" s="137"/>
      <c r="D114" s="135"/>
      <c r="E114" s="164"/>
      <c r="F114" s="164"/>
      <c r="G114" s="112"/>
      <c r="H114" s="164"/>
      <c r="I114" s="112"/>
      <c r="J114" s="137"/>
      <c r="K114" s="135"/>
      <c r="L114" s="164"/>
      <c r="M114" s="164"/>
      <c r="N114" s="112"/>
      <c r="O114" s="228"/>
      <c r="P114" s="112"/>
      <c r="Q114" s="82"/>
    </row>
    <row r="115" spans="1:17" ht="15.75">
      <c r="A115" s="228"/>
      <c r="B115" s="227"/>
      <c r="C115" s="227"/>
      <c r="D115" s="227"/>
      <c r="E115" s="227"/>
      <c r="F115" s="355" t="s">
        <v>104</v>
      </c>
      <c r="G115" s="355"/>
      <c r="H115" s="355"/>
      <c r="I115" s="355"/>
      <c r="J115" s="355"/>
      <c r="K115" s="227"/>
      <c r="L115" s="227"/>
      <c r="M115" s="227"/>
      <c r="N115" s="227"/>
      <c r="O115" s="227"/>
      <c r="P115" s="259"/>
      <c r="Q115" s="82"/>
    </row>
    <row r="116" spans="1:17" ht="15.75">
      <c r="A116" s="228"/>
      <c r="B116" s="227"/>
      <c r="C116" s="227"/>
      <c r="D116" s="227"/>
      <c r="E116" s="227"/>
      <c r="F116" s="227"/>
      <c r="G116" s="227"/>
      <c r="H116" s="227"/>
      <c r="I116" s="227"/>
      <c r="J116" s="227"/>
      <c r="K116" s="227"/>
      <c r="L116" s="227"/>
      <c r="M116" s="227"/>
      <c r="N116" s="227"/>
      <c r="O116" s="227"/>
      <c r="P116" s="259"/>
      <c r="Q116" s="82"/>
    </row>
    <row r="117" spans="1:17" ht="30">
      <c r="A117" s="228">
        <v>1</v>
      </c>
      <c r="B117" s="136" t="s">
        <v>106</v>
      </c>
      <c r="C117" s="137" t="s">
        <v>107</v>
      </c>
      <c r="D117" s="280" t="s">
        <v>286</v>
      </c>
      <c r="E117" s="164">
        <v>286.8</v>
      </c>
      <c r="F117" s="164">
        <v>0.57999999999999996</v>
      </c>
      <c r="G117" s="112">
        <f>F117*2.1411</f>
        <v>1.2418379999999998</v>
      </c>
      <c r="H117" s="164">
        <v>0.12</v>
      </c>
      <c r="I117" s="112">
        <f>H117*2.85548</f>
        <v>0.34265760000000001</v>
      </c>
      <c r="J117" s="137" t="s">
        <v>108</v>
      </c>
      <c r="K117" s="135" t="s">
        <v>25</v>
      </c>
      <c r="L117" s="164">
        <v>2.41E-2</v>
      </c>
      <c r="M117" s="164">
        <f>L117*E117</f>
        <v>6.91188</v>
      </c>
      <c r="N117" s="112">
        <v>21.885000000000002</v>
      </c>
      <c r="O117" s="352">
        <f>(L117*N117+L118*N118)*1.132047+G117+I117</f>
        <v>2.1828871538475001</v>
      </c>
      <c r="P117" s="352">
        <f>O117*E117</f>
        <v>626.05203572346306</v>
      </c>
      <c r="Q117" s="82"/>
    </row>
    <row r="118" spans="1:17" ht="18">
      <c r="A118" s="228"/>
      <c r="B118" s="271"/>
      <c r="C118" s="137"/>
      <c r="D118" s="135"/>
      <c r="E118" s="164"/>
      <c r="F118" s="164"/>
      <c r="G118" s="112"/>
      <c r="H118" s="164"/>
      <c r="I118" s="112"/>
      <c r="J118" s="137" t="s">
        <v>109</v>
      </c>
      <c r="K118" s="135" t="s">
        <v>287</v>
      </c>
      <c r="L118" s="164">
        <v>9.7000000000000003E-3</v>
      </c>
      <c r="M118" s="164">
        <f>L118*E117</f>
        <v>2.7819600000000002</v>
      </c>
      <c r="N118" s="112">
        <v>0.12</v>
      </c>
      <c r="O118" s="352"/>
      <c r="P118" s="352"/>
      <c r="Q118" s="82"/>
    </row>
    <row r="119" spans="1:17" ht="15.75">
      <c r="A119" s="228"/>
      <c r="B119" s="227"/>
      <c r="C119" s="227"/>
      <c r="D119" s="227"/>
      <c r="E119" s="227"/>
      <c r="F119" s="227"/>
      <c r="G119" s="112"/>
      <c r="H119" s="227"/>
      <c r="I119" s="112"/>
      <c r="J119" s="227"/>
      <c r="K119" s="227"/>
      <c r="L119" s="227"/>
      <c r="M119" s="227"/>
      <c r="N119" s="227"/>
      <c r="O119" s="227"/>
      <c r="P119" s="259"/>
      <c r="Q119" s="82"/>
    </row>
    <row r="120" spans="1:17" ht="38.25">
      <c r="A120" s="228">
        <v>2</v>
      </c>
      <c r="B120" s="136" t="s">
        <v>110</v>
      </c>
      <c r="C120" s="137" t="s">
        <v>111</v>
      </c>
      <c r="D120" s="278" t="s">
        <v>285</v>
      </c>
      <c r="E120" s="164">
        <v>9.2999999999999999E-2</v>
      </c>
      <c r="F120" s="164">
        <v>150</v>
      </c>
      <c r="G120" s="112">
        <f t="shared" ref="G120:G131" si="11">F120*2.1411</f>
        <v>321.16499999999996</v>
      </c>
      <c r="H120" s="164">
        <v>27.9</v>
      </c>
      <c r="I120" s="112">
        <f t="shared" ref="I120:I131" si="12">H120*2.85548</f>
        <v>79.667891999999995</v>
      </c>
      <c r="J120" s="137" t="s">
        <v>108</v>
      </c>
      <c r="K120" s="135" t="s">
        <v>25</v>
      </c>
      <c r="L120" s="164">
        <v>5.28</v>
      </c>
      <c r="M120" s="164">
        <f>L120*E120</f>
        <v>0.49104000000000003</v>
      </c>
      <c r="N120" s="112">
        <v>21.885000000000002</v>
      </c>
      <c r="O120" s="352">
        <f>(L120*N120+L121*N121)*1.132047+G120+I120</f>
        <v>531.8573702363999</v>
      </c>
      <c r="P120" s="352">
        <f>O120*E120</f>
        <v>49.462735431985188</v>
      </c>
      <c r="Q120" s="82"/>
    </row>
    <row r="121" spans="1:17" ht="18">
      <c r="A121" s="228"/>
      <c r="B121" s="271"/>
      <c r="C121" s="137"/>
      <c r="D121" s="135"/>
      <c r="E121" s="164"/>
      <c r="F121" s="164"/>
      <c r="G121" s="112"/>
      <c r="H121" s="164"/>
      <c r="I121" s="112"/>
      <c r="J121" s="137" t="s">
        <v>109</v>
      </c>
      <c r="K121" s="135" t="s">
        <v>287</v>
      </c>
      <c r="L121" s="164">
        <v>1.57</v>
      </c>
      <c r="M121" s="164">
        <f>L121*E120</f>
        <v>0.14601</v>
      </c>
      <c r="N121" s="112">
        <v>0.12</v>
      </c>
      <c r="O121" s="352"/>
      <c r="P121" s="352"/>
      <c r="Q121" s="82"/>
    </row>
    <row r="122" spans="1:17" ht="15.75">
      <c r="A122" s="228"/>
      <c r="B122" s="227"/>
      <c r="C122" s="227"/>
      <c r="D122" s="227"/>
      <c r="E122" s="227"/>
      <c r="F122" s="227"/>
      <c r="G122" s="112"/>
      <c r="H122" s="227"/>
      <c r="I122" s="112"/>
      <c r="J122" s="227"/>
      <c r="K122" s="227"/>
      <c r="L122" s="227"/>
      <c r="M122" s="227"/>
      <c r="N122" s="227"/>
      <c r="O122" s="227"/>
      <c r="P122" s="259"/>
      <c r="Q122" s="82"/>
    </row>
    <row r="123" spans="1:17" ht="30">
      <c r="A123" s="228">
        <v>3</v>
      </c>
      <c r="B123" s="281" t="s">
        <v>119</v>
      </c>
      <c r="C123" s="279" t="s">
        <v>120</v>
      </c>
      <c r="D123" s="282" t="s">
        <v>286</v>
      </c>
      <c r="E123" s="164">
        <v>162.4</v>
      </c>
      <c r="F123" s="164">
        <v>0.35599999999999998</v>
      </c>
      <c r="G123" s="112">
        <f t="shared" si="11"/>
        <v>0.7622315999999999</v>
      </c>
      <c r="H123" s="164">
        <v>4.9000000000000002E-2</v>
      </c>
      <c r="I123" s="112">
        <f t="shared" si="12"/>
        <v>0.13991852000000002</v>
      </c>
      <c r="J123" s="279" t="s">
        <v>112</v>
      </c>
      <c r="K123" s="282" t="s">
        <v>287</v>
      </c>
      <c r="L123" s="270">
        <v>1.9099999999999999E-2</v>
      </c>
      <c r="M123" s="112">
        <f>L123*E123</f>
        <v>3.1018400000000002</v>
      </c>
      <c r="N123" s="112">
        <v>26</v>
      </c>
      <c r="O123" s="112">
        <f>(L123*N123+L127*N127)*1.132047+G123+I123</f>
        <v>1.4643246601999997</v>
      </c>
      <c r="P123" s="112">
        <f>O123*E123</f>
        <v>237.80632481647996</v>
      </c>
      <c r="Q123" s="82"/>
    </row>
    <row r="124" spans="1:17" ht="15.75">
      <c r="A124" s="227"/>
      <c r="B124" s="281"/>
      <c r="C124" s="279"/>
      <c r="D124" s="282"/>
      <c r="E124" s="164"/>
      <c r="F124" s="164"/>
      <c r="G124" s="112"/>
      <c r="H124" s="164"/>
      <c r="I124" s="112"/>
      <c r="J124" s="279"/>
      <c r="K124" s="282"/>
      <c r="L124" s="270"/>
      <c r="M124" s="112"/>
      <c r="N124" s="112"/>
      <c r="O124" s="112"/>
      <c r="P124" s="112"/>
      <c r="Q124" s="82"/>
    </row>
    <row r="125" spans="1:17" ht="15.75">
      <c r="A125" s="227"/>
      <c r="B125" s="227"/>
      <c r="C125" s="227"/>
      <c r="D125" s="227"/>
      <c r="E125" s="227"/>
      <c r="F125" s="227"/>
      <c r="G125" s="112"/>
      <c r="H125" s="227"/>
      <c r="I125" s="112"/>
      <c r="J125" s="227"/>
      <c r="K125" s="227"/>
      <c r="L125" s="227"/>
      <c r="M125" s="227"/>
      <c r="N125" s="227"/>
      <c r="O125" s="227"/>
      <c r="P125" s="259"/>
      <c r="Q125" s="82"/>
    </row>
    <row r="126" spans="1:17" ht="30">
      <c r="A126" s="228">
        <v>4</v>
      </c>
      <c r="B126" s="281" t="s">
        <v>113</v>
      </c>
      <c r="C126" s="279" t="s">
        <v>111</v>
      </c>
      <c r="D126" s="282" t="s">
        <v>286</v>
      </c>
      <c r="E126" s="164">
        <v>4.6500000000000004</v>
      </c>
      <c r="F126" s="164">
        <v>1.07</v>
      </c>
      <c r="G126" s="112">
        <f t="shared" si="11"/>
        <v>2.2909769999999998</v>
      </c>
      <c r="H126" s="164">
        <v>0.08</v>
      </c>
      <c r="I126" s="112">
        <f t="shared" si="12"/>
        <v>0.22843840000000001</v>
      </c>
      <c r="J126" s="279" t="s">
        <v>112</v>
      </c>
      <c r="K126" s="282" t="s">
        <v>287</v>
      </c>
      <c r="L126" s="112">
        <v>4.3999999999999997E-2</v>
      </c>
      <c r="M126" s="112">
        <f>L126*E126</f>
        <v>0.2046</v>
      </c>
      <c r="N126" s="112">
        <v>26</v>
      </c>
      <c r="O126" s="112">
        <f>(L126*N126)*1.132047+G126+I126</f>
        <v>3.8144771679999998</v>
      </c>
      <c r="P126" s="112">
        <f>O126*E126</f>
        <v>17.7373188312</v>
      </c>
      <c r="Q126" s="82"/>
    </row>
    <row r="127" spans="1:17" ht="15.75">
      <c r="A127" s="227"/>
      <c r="B127" s="227"/>
      <c r="C127" s="227"/>
      <c r="D127" s="227"/>
      <c r="E127" s="227"/>
      <c r="F127" s="227"/>
      <c r="G127" s="112"/>
      <c r="H127" s="227"/>
      <c r="I127" s="112"/>
      <c r="J127" s="227"/>
      <c r="K127" s="227"/>
      <c r="L127" s="227"/>
      <c r="M127" s="227"/>
      <c r="N127" s="227"/>
      <c r="O127" s="227"/>
      <c r="P127" s="259"/>
      <c r="Q127" s="82"/>
    </row>
    <row r="128" spans="1:17" ht="18">
      <c r="A128" s="228">
        <v>5</v>
      </c>
      <c r="B128" s="275" t="s">
        <v>114</v>
      </c>
      <c r="C128" s="276" t="s">
        <v>115</v>
      </c>
      <c r="D128" s="277" t="s">
        <v>286</v>
      </c>
      <c r="E128" s="164">
        <v>295.3</v>
      </c>
      <c r="F128" s="164">
        <v>0.26500000000000001</v>
      </c>
      <c r="G128" s="112">
        <f t="shared" si="11"/>
        <v>0.56739149999999994</v>
      </c>
      <c r="H128" s="164">
        <v>8.9999999999999993E-3</v>
      </c>
      <c r="I128" s="112">
        <f t="shared" si="12"/>
        <v>2.5699319999999998E-2</v>
      </c>
      <c r="J128" s="276" t="s">
        <v>116</v>
      </c>
      <c r="K128" s="277" t="s">
        <v>55</v>
      </c>
      <c r="L128" s="170">
        <v>0.63</v>
      </c>
      <c r="M128" s="170">
        <f>L128*E128</f>
        <v>186.03900000000002</v>
      </c>
      <c r="N128" s="170">
        <v>0.58299999999999996</v>
      </c>
      <c r="O128" s="351">
        <f>((L128*N128)+(L129*N129))*1.132047+G128+I128</f>
        <v>1.1514843232199998</v>
      </c>
      <c r="P128" s="351">
        <f>O128*E128</f>
        <v>340.03332064686595</v>
      </c>
      <c r="Q128" s="82"/>
    </row>
    <row r="129" spans="1:17" ht="15.75">
      <c r="A129" s="227"/>
      <c r="B129" s="283"/>
      <c r="C129" s="276"/>
      <c r="D129" s="277"/>
      <c r="E129" s="164"/>
      <c r="F129" s="164"/>
      <c r="G129" s="112"/>
      <c r="H129" s="164"/>
      <c r="I129" s="112"/>
      <c r="J129" s="276" t="s">
        <v>117</v>
      </c>
      <c r="K129" s="277" t="s">
        <v>55</v>
      </c>
      <c r="L129" s="170">
        <v>0.51</v>
      </c>
      <c r="M129" s="170">
        <f>L129*E128</f>
        <v>150.60300000000001</v>
      </c>
      <c r="N129" s="170">
        <v>0.247</v>
      </c>
      <c r="O129" s="351"/>
      <c r="P129" s="351"/>
      <c r="Q129" s="82"/>
    </row>
    <row r="130" spans="1:17" ht="15.75">
      <c r="A130" s="227"/>
      <c r="B130" s="227"/>
      <c r="C130" s="227"/>
      <c r="D130" s="227"/>
      <c r="E130" s="227"/>
      <c r="F130" s="227"/>
      <c r="G130" s="112"/>
      <c r="H130" s="227"/>
      <c r="I130" s="112"/>
      <c r="J130" s="227"/>
      <c r="K130" s="227"/>
      <c r="L130" s="227"/>
      <c r="M130" s="227"/>
      <c r="N130" s="227"/>
      <c r="O130" s="227"/>
      <c r="P130" s="259"/>
      <c r="Q130" s="82"/>
    </row>
    <row r="131" spans="1:17" ht="30">
      <c r="A131" s="228">
        <v>6</v>
      </c>
      <c r="B131" s="281" t="s">
        <v>118</v>
      </c>
      <c r="C131" s="279" t="s">
        <v>127</v>
      </c>
      <c r="D131" s="277" t="s">
        <v>286</v>
      </c>
      <c r="E131" s="164">
        <v>160.57</v>
      </c>
      <c r="F131" s="164">
        <v>0.26500000000000001</v>
      </c>
      <c r="G131" s="112">
        <f t="shared" si="11"/>
        <v>0.56739149999999994</v>
      </c>
      <c r="H131" s="164">
        <v>8.9999999999999993E-3</v>
      </c>
      <c r="I131" s="112">
        <f t="shared" si="12"/>
        <v>2.5699319999999998E-2</v>
      </c>
      <c r="J131" s="276" t="s">
        <v>116</v>
      </c>
      <c r="K131" s="277" t="s">
        <v>55</v>
      </c>
      <c r="L131" s="170">
        <v>0.63</v>
      </c>
      <c r="M131" s="170">
        <f>L131*E131</f>
        <v>101.1591</v>
      </c>
      <c r="N131" s="170">
        <v>0.58299999999999996</v>
      </c>
      <c r="O131" s="351">
        <f>((L131*N131)+(L132*N132))*1.132047+G131+I131</f>
        <v>1.1514843232199998</v>
      </c>
      <c r="P131" s="351">
        <f>O131*E131</f>
        <v>184.89383777943536</v>
      </c>
      <c r="Q131" s="82"/>
    </row>
    <row r="132" spans="1:17" ht="15.75">
      <c r="A132" s="227"/>
      <c r="B132" s="271"/>
      <c r="C132" s="137"/>
      <c r="D132" s="277"/>
      <c r="E132" s="164"/>
      <c r="F132" s="164"/>
      <c r="G132" s="112"/>
      <c r="H132" s="164"/>
      <c r="I132" s="112"/>
      <c r="J132" s="276" t="s">
        <v>117</v>
      </c>
      <c r="K132" s="277" t="s">
        <v>55</v>
      </c>
      <c r="L132" s="170">
        <v>0.51</v>
      </c>
      <c r="M132" s="170">
        <f>L132*E131</f>
        <v>81.890699999999995</v>
      </c>
      <c r="N132" s="170">
        <v>0.247</v>
      </c>
      <c r="O132" s="351"/>
      <c r="P132" s="351"/>
      <c r="Q132" s="82"/>
    </row>
    <row r="133" spans="1:17" ht="30">
      <c r="A133" s="228">
        <v>7</v>
      </c>
      <c r="B133" s="136" t="s">
        <v>225</v>
      </c>
      <c r="C133" s="137" t="s">
        <v>226</v>
      </c>
      <c r="D133" s="135" t="s">
        <v>286</v>
      </c>
      <c r="E133" s="239">
        <v>92</v>
      </c>
      <c r="F133" s="164">
        <v>1.41</v>
      </c>
      <c r="G133" s="112">
        <f>F133*2.1411</f>
        <v>3.0189509999999995</v>
      </c>
      <c r="H133" s="112">
        <v>3.3000000000000002E-2</v>
      </c>
      <c r="I133" s="112">
        <f>H133*2.85548</f>
        <v>9.423084000000001E-2</v>
      </c>
      <c r="J133" s="137" t="s">
        <v>224</v>
      </c>
      <c r="K133" s="135" t="s">
        <v>286</v>
      </c>
      <c r="L133" s="239">
        <v>1</v>
      </c>
      <c r="M133" s="164">
        <f>L133*E133</f>
        <v>92</v>
      </c>
      <c r="N133" s="112">
        <v>24.5</v>
      </c>
      <c r="O133" s="352">
        <f>(L133*N133+L134*N134)*1.132047+G133+I133</f>
        <v>32.464896456000005</v>
      </c>
      <c r="P133" s="354">
        <f>O133*E133</f>
        <v>2986.7704739520004</v>
      </c>
      <c r="Q133" s="82"/>
    </row>
    <row r="134" spans="1:17" ht="30">
      <c r="A134" s="227"/>
      <c r="B134" s="271"/>
      <c r="C134" s="137"/>
      <c r="D134" s="135"/>
      <c r="E134" s="239"/>
      <c r="F134" s="164"/>
      <c r="G134" s="112"/>
      <c r="H134" s="112"/>
      <c r="I134" s="112"/>
      <c r="J134" s="137" t="s">
        <v>222</v>
      </c>
      <c r="K134" s="135" t="s">
        <v>36</v>
      </c>
      <c r="L134" s="239">
        <v>1.02</v>
      </c>
      <c r="M134" s="164">
        <f>L134*E133</f>
        <v>93.84</v>
      </c>
      <c r="N134" s="112">
        <v>1.4</v>
      </c>
      <c r="O134" s="352"/>
      <c r="P134" s="354"/>
      <c r="Q134" s="82"/>
    </row>
    <row r="135" spans="1:17" ht="15.75">
      <c r="A135" s="259">
        <v>8</v>
      </c>
      <c r="B135" s="227"/>
      <c r="C135" s="227"/>
      <c r="D135" s="227"/>
      <c r="E135" s="227"/>
      <c r="F135" s="227"/>
      <c r="G135" s="112"/>
      <c r="H135" s="227"/>
      <c r="I135" s="112"/>
      <c r="J135" s="227"/>
      <c r="K135" s="227"/>
      <c r="L135" s="227"/>
      <c r="M135" s="227"/>
      <c r="N135" s="227"/>
      <c r="O135" s="227"/>
      <c r="P135" s="259"/>
      <c r="Q135" s="82"/>
    </row>
    <row r="136" spans="1:17" ht="15.75">
      <c r="A136" s="227"/>
      <c r="B136" s="256"/>
      <c r="C136" s="256"/>
      <c r="D136" s="256"/>
      <c r="E136" s="256"/>
      <c r="F136" s="256"/>
      <c r="G136" s="256"/>
      <c r="H136" s="256"/>
      <c r="I136" s="256"/>
      <c r="J136" s="256"/>
      <c r="K136" s="256"/>
      <c r="L136" s="256" t="s">
        <v>75</v>
      </c>
      <c r="M136" s="256"/>
      <c r="N136" s="256"/>
      <c r="O136" s="256"/>
      <c r="P136" s="284">
        <f>P133+P131+P128+P126+P123+P120+P117+P109+P106+P104+P102</f>
        <v>5886.341467446724</v>
      </c>
      <c r="Q136" s="82"/>
    </row>
    <row r="137" spans="1:17" ht="15.75">
      <c r="A137" s="227"/>
      <c r="B137" s="256"/>
      <c r="C137" s="256"/>
      <c r="D137" s="256"/>
      <c r="E137" s="256"/>
      <c r="F137" s="256"/>
      <c r="G137" s="256"/>
      <c r="H137" s="256"/>
      <c r="I137" s="256"/>
      <c r="J137" s="256"/>
      <c r="K137" s="256"/>
      <c r="L137" s="256"/>
      <c r="M137" s="256"/>
      <c r="N137" s="256"/>
      <c r="O137" s="256"/>
      <c r="P137" s="256"/>
      <c r="Q137" s="82"/>
    </row>
    <row r="138" spans="1:17" ht="15.75">
      <c r="A138" s="227"/>
      <c r="B138" s="227"/>
      <c r="C138" s="227"/>
      <c r="D138" s="227"/>
      <c r="E138" s="227"/>
      <c r="F138" s="227"/>
      <c r="G138" s="227"/>
      <c r="H138" s="227"/>
      <c r="I138" s="227"/>
      <c r="J138" s="227"/>
      <c r="K138" s="256"/>
      <c r="L138" s="227" t="s">
        <v>76</v>
      </c>
      <c r="M138" s="227"/>
      <c r="N138" s="227"/>
      <c r="O138" s="227"/>
      <c r="P138" s="227">
        <f>+P136*13.3/100</f>
        <v>782.88341517041442</v>
      </c>
      <c r="Q138" s="82"/>
    </row>
    <row r="139" spans="1:17" ht="15.75">
      <c r="A139" s="227"/>
      <c r="B139" s="256"/>
      <c r="C139" s="256"/>
      <c r="D139" s="256"/>
      <c r="E139" s="256"/>
      <c r="F139" s="256"/>
      <c r="G139" s="256"/>
      <c r="H139" s="256"/>
      <c r="I139" s="256"/>
      <c r="J139" s="256"/>
      <c r="K139" s="256"/>
      <c r="L139" s="227"/>
      <c r="M139" s="227"/>
      <c r="N139" s="227"/>
      <c r="O139" s="227"/>
      <c r="P139" s="227"/>
      <c r="Q139" s="82"/>
    </row>
    <row r="140" spans="1:17" ht="15.75">
      <c r="A140" s="227"/>
      <c r="B140" s="256"/>
      <c r="C140" s="256"/>
      <c r="D140" s="256"/>
      <c r="E140" s="256"/>
      <c r="F140" s="256"/>
      <c r="G140" s="256"/>
      <c r="H140" s="256"/>
      <c r="I140" s="256"/>
      <c r="J140" s="256"/>
      <c r="K140" s="256"/>
      <c r="L140" s="227" t="s">
        <v>75</v>
      </c>
      <c r="M140" s="227"/>
      <c r="N140" s="227"/>
      <c r="O140" s="227"/>
      <c r="P140" s="227">
        <f>P138+P136</f>
        <v>6669.2248826171381</v>
      </c>
      <c r="Q140" s="82"/>
    </row>
    <row r="141" spans="1:17" ht="15.75">
      <c r="A141" s="227"/>
      <c r="B141" s="256"/>
      <c r="C141" s="256"/>
      <c r="D141" s="256"/>
      <c r="E141" s="256"/>
      <c r="F141" s="256"/>
      <c r="G141" s="256"/>
      <c r="H141" s="256"/>
      <c r="I141" s="256"/>
      <c r="J141" s="256"/>
      <c r="K141" s="256"/>
      <c r="L141" s="227"/>
      <c r="M141" s="227"/>
      <c r="N141" s="227"/>
      <c r="O141" s="227"/>
      <c r="P141" s="227"/>
      <c r="Q141" s="82"/>
    </row>
    <row r="142" spans="1:17" ht="15.75">
      <c r="A142" s="227"/>
      <c r="B142" s="256"/>
      <c r="C142" s="256"/>
      <c r="D142" s="256"/>
      <c r="E142" s="256"/>
      <c r="F142" s="256"/>
      <c r="G142" s="256"/>
      <c r="H142" s="256"/>
      <c r="I142" s="256"/>
      <c r="J142" s="256"/>
      <c r="K142" s="256"/>
      <c r="L142" s="227" t="s">
        <v>126</v>
      </c>
      <c r="M142" s="260">
        <v>0.11</v>
      </c>
      <c r="N142" s="227"/>
      <c r="O142" s="227"/>
      <c r="P142" s="227">
        <f>P140*11/100</f>
        <v>733.61473708788515</v>
      </c>
      <c r="Q142" s="82"/>
    </row>
    <row r="143" spans="1:17" ht="15.75">
      <c r="A143" s="227"/>
      <c r="B143" s="256"/>
      <c r="C143" s="256"/>
      <c r="D143" s="256"/>
      <c r="E143" s="256"/>
      <c r="F143" s="256"/>
      <c r="G143" s="256"/>
      <c r="H143" s="256"/>
      <c r="I143" s="256"/>
      <c r="J143" s="256"/>
      <c r="K143" s="256"/>
      <c r="L143" s="227"/>
      <c r="M143" s="227"/>
      <c r="N143" s="227"/>
      <c r="O143" s="227"/>
      <c r="P143" s="227"/>
      <c r="Q143" s="82"/>
    </row>
    <row r="144" spans="1:17" ht="15.75">
      <c r="A144" s="227"/>
      <c r="B144" s="256"/>
      <c r="C144" s="256"/>
      <c r="D144" s="256"/>
      <c r="E144" s="256"/>
      <c r="F144" s="256"/>
      <c r="G144" s="256"/>
      <c r="H144" s="256"/>
      <c r="I144" s="256"/>
      <c r="J144" s="256"/>
      <c r="K144" s="256"/>
      <c r="L144" s="257" t="s">
        <v>75</v>
      </c>
      <c r="M144" s="227"/>
      <c r="N144" s="227"/>
      <c r="O144" s="227"/>
      <c r="P144" s="257">
        <f>P142+P140</f>
        <v>7402.8396197050233</v>
      </c>
      <c r="Q144" s="82"/>
    </row>
    <row r="145" spans="1:18" ht="15" customHeight="1">
      <c r="A145" s="227"/>
      <c r="B145" s="256"/>
      <c r="C145" s="256"/>
      <c r="D145" s="256"/>
      <c r="E145" s="256"/>
      <c r="F145" s="256"/>
      <c r="G145" s="256"/>
      <c r="H145" s="256"/>
      <c r="I145" s="256"/>
      <c r="J145" s="256"/>
      <c r="K145" s="256"/>
      <c r="L145" s="256"/>
      <c r="M145" s="256"/>
      <c r="N145" s="256"/>
      <c r="O145" s="256"/>
      <c r="P145" s="256"/>
    </row>
    <row r="146" spans="1:18" ht="15.75">
      <c r="A146" s="227"/>
      <c r="B146" s="256"/>
      <c r="C146" s="256"/>
      <c r="D146" s="256"/>
      <c r="E146" s="256"/>
      <c r="F146" s="256"/>
      <c r="G146" s="256"/>
      <c r="H146" s="256"/>
      <c r="I146" s="256"/>
      <c r="J146" s="256"/>
      <c r="K146" s="256"/>
      <c r="L146" s="256"/>
      <c r="M146" s="256"/>
      <c r="N146" s="256"/>
      <c r="O146" s="256"/>
      <c r="P146" s="256"/>
    </row>
    <row r="147" spans="1:18" ht="15.75">
      <c r="A147" s="227"/>
      <c r="B147" s="256"/>
      <c r="C147" s="256"/>
      <c r="D147" s="256"/>
      <c r="E147" s="256"/>
      <c r="F147" s="256"/>
      <c r="G147" s="256"/>
      <c r="H147" s="256"/>
      <c r="I147" s="256"/>
      <c r="J147" s="256"/>
      <c r="K147" s="256"/>
      <c r="L147" s="256"/>
      <c r="M147" s="256"/>
      <c r="N147" s="256"/>
      <c r="O147" s="256"/>
      <c r="P147" s="256"/>
    </row>
    <row r="148" spans="1:18" ht="15.75">
      <c r="A148" s="227"/>
      <c r="B148" s="256"/>
      <c r="C148" s="256"/>
      <c r="D148" s="256"/>
      <c r="E148" s="256"/>
      <c r="F148" s="256"/>
      <c r="G148" s="256"/>
      <c r="H148" s="256"/>
      <c r="I148" s="256"/>
      <c r="J148" s="256"/>
      <c r="K148" s="256"/>
      <c r="L148" s="256"/>
      <c r="M148" s="256"/>
      <c r="N148" s="256"/>
      <c r="O148" s="256"/>
      <c r="P148" s="256"/>
      <c r="Q148" s="82"/>
    </row>
    <row r="149" spans="1:18" ht="15.75">
      <c r="A149" s="227"/>
      <c r="B149" s="227"/>
      <c r="C149" s="227"/>
      <c r="D149" s="227"/>
      <c r="E149" s="227"/>
      <c r="F149" s="353" t="s">
        <v>121</v>
      </c>
      <c r="G149" s="353"/>
      <c r="H149" s="353"/>
      <c r="I149" s="353"/>
      <c r="J149" s="227"/>
      <c r="K149" s="227"/>
      <c r="L149" s="227"/>
      <c r="M149" s="227"/>
      <c r="N149" s="227"/>
      <c r="O149" s="227"/>
      <c r="P149" s="259"/>
      <c r="Q149" s="82"/>
    </row>
    <row r="150" spans="1:18" ht="15.75">
      <c r="A150" s="227"/>
      <c r="B150" s="227"/>
      <c r="C150" s="227"/>
      <c r="D150" s="227"/>
      <c r="E150" s="227"/>
      <c r="F150" s="227"/>
      <c r="G150" s="227"/>
      <c r="H150" s="227"/>
      <c r="I150" s="227"/>
      <c r="J150" s="227"/>
      <c r="K150" s="227"/>
      <c r="L150" s="227"/>
      <c r="M150" s="227"/>
      <c r="N150" s="227"/>
      <c r="O150" s="227"/>
      <c r="P150" s="259"/>
      <c r="Q150" s="82"/>
    </row>
    <row r="151" spans="1:18" ht="30">
      <c r="A151" s="228">
        <v>1</v>
      </c>
      <c r="B151" s="136" t="s">
        <v>122</v>
      </c>
      <c r="C151" s="137" t="s">
        <v>123</v>
      </c>
      <c r="D151" s="135" t="s">
        <v>286</v>
      </c>
      <c r="E151" s="164">
        <v>14.76</v>
      </c>
      <c r="F151" s="164"/>
      <c r="G151" s="112"/>
      <c r="H151" s="164"/>
      <c r="I151" s="112"/>
      <c r="J151" s="137"/>
      <c r="K151" s="135"/>
      <c r="L151" s="164"/>
      <c r="M151" s="164"/>
      <c r="N151" s="112"/>
      <c r="O151" s="112">
        <v>36.667000000000002</v>
      </c>
      <c r="P151" s="112">
        <f>E151*O151</f>
        <v>541.20492000000002</v>
      </c>
      <c r="Q151" s="82"/>
      <c r="R151" s="88"/>
    </row>
    <row r="152" spans="1:18" ht="15.75">
      <c r="A152" s="227"/>
      <c r="B152" s="136"/>
      <c r="C152" s="137"/>
      <c r="D152" s="135"/>
      <c r="E152" s="164"/>
      <c r="F152" s="164"/>
      <c r="G152" s="112"/>
      <c r="H152" s="164"/>
      <c r="I152" s="112"/>
      <c r="J152" s="137"/>
      <c r="K152" s="135"/>
      <c r="L152" s="164"/>
      <c r="M152" s="164"/>
      <c r="N152" s="112"/>
      <c r="O152" s="112"/>
      <c r="P152" s="112"/>
      <c r="Q152" s="82"/>
      <c r="R152" s="88"/>
    </row>
    <row r="153" spans="1:18" ht="30">
      <c r="A153" s="228">
        <v>2</v>
      </c>
      <c r="B153" s="136" t="s">
        <v>124</v>
      </c>
      <c r="C153" s="137" t="s">
        <v>125</v>
      </c>
      <c r="D153" s="135" t="s">
        <v>286</v>
      </c>
      <c r="E153" s="164">
        <v>16.32</v>
      </c>
      <c r="F153" s="164"/>
      <c r="G153" s="112"/>
      <c r="H153" s="164"/>
      <c r="I153" s="112"/>
      <c r="J153" s="137"/>
      <c r="K153" s="135"/>
      <c r="L153" s="164"/>
      <c r="M153" s="164"/>
      <c r="N153" s="112"/>
      <c r="O153" s="112">
        <v>24.167000000000002</v>
      </c>
      <c r="P153" s="112">
        <f>E153*O153</f>
        <v>394.40544000000006</v>
      </c>
      <c r="Q153" s="82"/>
      <c r="R153" s="87"/>
    </row>
    <row r="154" spans="1:18" ht="15.75">
      <c r="A154" s="227"/>
      <c r="B154" s="256"/>
      <c r="C154" s="256"/>
      <c r="D154" s="256"/>
      <c r="E154" s="256"/>
      <c r="F154" s="256"/>
      <c r="G154" s="256"/>
      <c r="H154" s="256"/>
      <c r="I154" s="256"/>
      <c r="J154" s="256"/>
      <c r="K154" s="256"/>
      <c r="L154" s="256" t="s">
        <v>75</v>
      </c>
      <c r="M154" s="256"/>
      <c r="N154" s="256"/>
      <c r="O154" s="256"/>
      <c r="P154" s="284">
        <f>+P153+P151</f>
        <v>935.61036000000013</v>
      </c>
      <c r="Q154" s="82"/>
      <c r="R154" s="88"/>
    </row>
    <row r="155" spans="1:18" ht="15.75">
      <c r="A155" s="227"/>
      <c r="B155" s="256"/>
      <c r="C155" s="256"/>
      <c r="D155" s="256"/>
      <c r="E155" s="256"/>
      <c r="F155" s="256"/>
      <c r="G155" s="256"/>
      <c r="H155" s="256"/>
      <c r="I155" s="256"/>
      <c r="J155" s="256"/>
      <c r="K155" s="256"/>
      <c r="L155" s="256"/>
      <c r="M155" s="256"/>
      <c r="N155" s="256"/>
      <c r="O155" s="256"/>
      <c r="P155" s="256"/>
      <c r="Q155" s="82"/>
      <c r="R155" s="88"/>
    </row>
    <row r="156" spans="1:18" ht="15.75">
      <c r="A156" s="227"/>
      <c r="B156" s="256"/>
      <c r="C156" s="256"/>
      <c r="D156" s="256"/>
      <c r="E156" s="256"/>
      <c r="F156" s="256"/>
      <c r="G156" s="256"/>
      <c r="H156" s="256"/>
      <c r="I156" s="256"/>
      <c r="J156" s="256"/>
      <c r="K156" s="256"/>
      <c r="L156" s="227" t="s">
        <v>76</v>
      </c>
      <c r="M156" s="227"/>
      <c r="N156" s="227"/>
      <c r="O156" s="227"/>
      <c r="P156" s="227">
        <f>+P154*13.3/100</f>
        <v>124.43617788000003</v>
      </c>
      <c r="Q156" s="82"/>
      <c r="R156" s="88"/>
    </row>
    <row r="157" spans="1:18" ht="15.75">
      <c r="A157" s="227"/>
      <c r="B157" s="256"/>
      <c r="C157" s="256"/>
      <c r="D157" s="256"/>
      <c r="E157" s="256"/>
      <c r="F157" s="256"/>
      <c r="G157" s="256"/>
      <c r="H157" s="256"/>
      <c r="I157" s="256"/>
      <c r="J157" s="256"/>
      <c r="K157" s="256"/>
      <c r="L157" s="227"/>
      <c r="M157" s="227"/>
      <c r="N157" s="227"/>
      <c r="O157" s="227"/>
      <c r="P157" s="227"/>
      <c r="Q157" s="82"/>
      <c r="R157" s="87"/>
    </row>
    <row r="158" spans="1:18" ht="15.75">
      <c r="A158" s="227"/>
      <c r="B158" s="256"/>
      <c r="C158" s="256"/>
      <c r="D158" s="256"/>
      <c r="E158" s="256"/>
      <c r="F158" s="256"/>
      <c r="G158" s="256"/>
      <c r="H158" s="256"/>
      <c r="I158" s="256"/>
      <c r="J158" s="256"/>
      <c r="K158" s="256"/>
      <c r="L158" s="227" t="s">
        <v>75</v>
      </c>
      <c r="M158" s="227"/>
      <c r="N158" s="227"/>
      <c r="O158" s="227"/>
      <c r="P158" s="227">
        <f>P156+P154</f>
        <v>1060.0465378800002</v>
      </c>
      <c r="Q158" s="82"/>
    </row>
    <row r="159" spans="1:18" ht="15.75">
      <c r="A159" s="227"/>
      <c r="B159" s="256"/>
      <c r="C159" s="256"/>
      <c r="D159" s="256"/>
      <c r="E159" s="256"/>
      <c r="F159" s="256"/>
      <c r="G159" s="256"/>
      <c r="H159" s="256"/>
      <c r="I159" s="256"/>
      <c r="J159" s="256"/>
      <c r="K159" s="256"/>
      <c r="L159" s="227"/>
      <c r="M159" s="227"/>
      <c r="N159" s="227"/>
      <c r="O159" s="227"/>
      <c r="P159" s="227"/>
      <c r="Q159" s="82"/>
    </row>
    <row r="160" spans="1:18" ht="15.75">
      <c r="A160" s="227"/>
      <c r="B160" s="256"/>
      <c r="C160" s="256"/>
      <c r="D160" s="256"/>
      <c r="E160" s="256"/>
      <c r="F160" s="256"/>
      <c r="G160" s="256"/>
      <c r="H160" s="256"/>
      <c r="I160" s="256"/>
      <c r="J160" s="256"/>
      <c r="K160" s="256"/>
      <c r="L160" s="227" t="s">
        <v>126</v>
      </c>
      <c r="M160" s="260">
        <v>0.11</v>
      </c>
      <c r="N160" s="227"/>
      <c r="O160" s="227"/>
      <c r="P160" s="227">
        <f>P158*11/100</f>
        <v>116.60511916680001</v>
      </c>
      <c r="Q160" s="82"/>
    </row>
    <row r="161" spans="1:17" ht="15.75">
      <c r="A161" s="227"/>
      <c r="B161" s="256"/>
      <c r="C161" s="256"/>
      <c r="D161" s="256"/>
      <c r="E161" s="256"/>
      <c r="F161" s="256"/>
      <c r="G161" s="256"/>
      <c r="H161" s="256"/>
      <c r="I161" s="256"/>
      <c r="J161" s="256"/>
      <c r="K161" s="256"/>
      <c r="L161" s="227"/>
      <c r="M161" s="227"/>
      <c r="N161" s="227"/>
      <c r="O161" s="227"/>
      <c r="P161" s="227"/>
      <c r="Q161" s="82"/>
    </row>
    <row r="162" spans="1:17" ht="15.75">
      <c r="A162" s="227"/>
      <c r="B162" s="256"/>
      <c r="C162" s="256"/>
      <c r="D162" s="256"/>
      <c r="E162" s="256"/>
      <c r="F162" s="256"/>
      <c r="G162" s="256"/>
      <c r="H162" s="256"/>
      <c r="I162" s="256"/>
      <c r="J162" s="256"/>
      <c r="K162" s="256"/>
      <c r="L162" s="257" t="s">
        <v>75</v>
      </c>
      <c r="M162" s="227"/>
      <c r="N162" s="227"/>
      <c r="O162" s="227"/>
      <c r="P162" s="257">
        <f>P160+P158</f>
        <v>1176.6516570468002</v>
      </c>
      <c r="Q162" s="82"/>
    </row>
    <row r="163" spans="1:17" ht="15.75">
      <c r="A163" s="227"/>
      <c r="B163" s="256"/>
      <c r="C163" s="256"/>
      <c r="D163" s="256"/>
      <c r="E163" s="256"/>
      <c r="F163" s="256"/>
      <c r="G163" s="256"/>
      <c r="H163" s="256"/>
      <c r="I163" s="256"/>
      <c r="J163" s="256"/>
      <c r="K163" s="256"/>
      <c r="L163" s="256"/>
      <c r="M163" s="256"/>
      <c r="N163" s="256"/>
      <c r="O163" s="256"/>
      <c r="P163" s="256"/>
      <c r="Q163" s="82"/>
    </row>
    <row r="164" spans="1:17" ht="15.75">
      <c r="A164" s="227"/>
      <c r="B164" s="256"/>
      <c r="C164" s="256"/>
      <c r="D164" s="256"/>
      <c r="E164" s="256"/>
      <c r="F164" s="256"/>
      <c r="G164" s="256"/>
      <c r="H164" s="256"/>
      <c r="I164" s="256"/>
      <c r="J164" s="256"/>
      <c r="K164" s="256"/>
      <c r="L164" s="256"/>
      <c r="M164" s="256"/>
      <c r="N164" s="256"/>
      <c r="O164" s="256"/>
      <c r="P164" s="256"/>
      <c r="Q164" s="82"/>
    </row>
    <row r="165" spans="1:17" ht="15.75">
      <c r="A165" s="228"/>
      <c r="B165" s="285"/>
      <c r="C165" s="286"/>
      <c r="D165" s="285"/>
      <c r="E165" s="287"/>
      <c r="F165" s="257" t="s">
        <v>128</v>
      </c>
      <c r="G165" s="257"/>
      <c r="H165" s="257"/>
      <c r="I165" s="257"/>
      <c r="J165" s="227"/>
      <c r="K165" s="285"/>
      <c r="L165" s="288"/>
      <c r="M165" s="287"/>
      <c r="N165" s="287"/>
      <c r="O165" s="287"/>
      <c r="P165" s="169"/>
      <c r="Q165" s="82"/>
    </row>
    <row r="166" spans="1:17">
      <c r="A166" s="228"/>
      <c r="B166" s="289"/>
      <c r="C166" s="290"/>
      <c r="D166" s="291"/>
      <c r="E166" s="292"/>
      <c r="F166" s="292"/>
      <c r="G166" s="112"/>
      <c r="H166" s="292"/>
      <c r="I166" s="170"/>
      <c r="J166" s="290"/>
      <c r="K166" s="291"/>
      <c r="L166" s="293"/>
      <c r="M166" s="112"/>
      <c r="N166" s="287"/>
      <c r="O166" s="170"/>
      <c r="P166" s="169"/>
      <c r="Q166" s="82"/>
    </row>
    <row r="167" spans="1:17" ht="45">
      <c r="A167" s="228">
        <v>1</v>
      </c>
      <c r="B167" s="294" t="s">
        <v>129</v>
      </c>
      <c r="C167" s="295" t="s">
        <v>131</v>
      </c>
      <c r="D167" s="294" t="s">
        <v>29</v>
      </c>
      <c r="E167" s="296">
        <v>1</v>
      </c>
      <c r="F167" s="296">
        <v>0.9</v>
      </c>
      <c r="G167" s="287">
        <f>F167*2.1411</f>
        <v>1.9269899999999998</v>
      </c>
      <c r="H167" s="296">
        <v>0.05</v>
      </c>
      <c r="I167" s="112">
        <f>H167*2.85548</f>
        <v>0.14277400000000001</v>
      </c>
      <c r="J167" s="295" t="s">
        <v>130</v>
      </c>
      <c r="K167" s="294" t="s">
        <v>29</v>
      </c>
      <c r="L167" s="297">
        <v>1</v>
      </c>
      <c r="M167" s="296">
        <f>+L167*E167</f>
        <v>1</v>
      </c>
      <c r="N167" s="296">
        <v>45</v>
      </c>
      <c r="O167" s="296">
        <f>N167*L167*1.132047+I167+G167</f>
        <v>53.011879</v>
      </c>
      <c r="P167" s="298">
        <f>E167*O167</f>
        <v>53.011879</v>
      </c>
      <c r="Q167" s="82"/>
    </row>
    <row r="168" spans="1:17">
      <c r="A168" s="228"/>
      <c r="B168" s="299"/>
      <c r="C168" s="300"/>
      <c r="D168" s="301"/>
      <c r="E168" s="302"/>
      <c r="F168" s="302"/>
      <c r="G168" s="287"/>
      <c r="H168" s="302"/>
      <c r="I168" s="112"/>
      <c r="J168" s="300"/>
      <c r="K168" s="301"/>
      <c r="L168" s="303"/>
      <c r="M168" s="304"/>
      <c r="N168" s="296"/>
      <c r="O168" s="296"/>
      <c r="P168" s="298"/>
      <c r="Q168" s="82"/>
    </row>
    <row r="169" spans="1:17" ht="45">
      <c r="A169" s="228">
        <v>2</v>
      </c>
      <c r="B169" s="294" t="s">
        <v>129</v>
      </c>
      <c r="C169" s="295" t="s">
        <v>172</v>
      </c>
      <c r="D169" s="294" t="s">
        <v>29</v>
      </c>
      <c r="E169" s="296">
        <v>9</v>
      </c>
      <c r="F169" s="296">
        <v>0.9</v>
      </c>
      <c r="G169" s="287">
        <f t="shared" ref="G169:G184" si="13">F169*2.1411</f>
        <v>1.9269899999999998</v>
      </c>
      <c r="H169" s="296">
        <v>0.05</v>
      </c>
      <c r="I169" s="112">
        <f t="shared" ref="I169:I184" si="14">H169*2.85548</f>
        <v>0.14277400000000001</v>
      </c>
      <c r="J169" s="295" t="s">
        <v>132</v>
      </c>
      <c r="K169" s="294" t="s">
        <v>29</v>
      </c>
      <c r="L169" s="297">
        <v>1</v>
      </c>
      <c r="M169" s="296">
        <f>+L169*E169</f>
        <v>9</v>
      </c>
      <c r="N169" s="296">
        <v>1.3</v>
      </c>
      <c r="O169" s="296">
        <f t="shared" ref="O169:O184" si="15">N169*L169*1.132047+I169+G169</f>
        <v>3.5414250999999997</v>
      </c>
      <c r="P169" s="298">
        <f>E169*O169</f>
        <v>31.872825899999995</v>
      </c>
      <c r="Q169" s="82"/>
    </row>
    <row r="170" spans="1:17" ht="15.75">
      <c r="A170" s="228"/>
      <c r="B170" s="227"/>
      <c r="C170" s="227"/>
      <c r="D170" s="227"/>
      <c r="E170" s="227"/>
      <c r="F170" s="227"/>
      <c r="G170" s="287"/>
      <c r="H170" s="227"/>
      <c r="I170" s="112"/>
      <c r="J170" s="227"/>
      <c r="K170" s="227"/>
      <c r="L170" s="227"/>
      <c r="M170" s="227"/>
      <c r="N170" s="227"/>
      <c r="O170" s="296"/>
      <c r="P170" s="227"/>
      <c r="Q170" s="82"/>
    </row>
    <row r="171" spans="1:17" ht="30">
      <c r="A171" s="228">
        <v>3</v>
      </c>
      <c r="B171" s="305" t="s">
        <v>133</v>
      </c>
      <c r="C171" s="306" t="s">
        <v>134</v>
      </c>
      <c r="D171" s="307" t="s">
        <v>42</v>
      </c>
      <c r="E171" s="308">
        <v>2.5499999999999998</v>
      </c>
      <c r="F171" s="308">
        <v>1.5</v>
      </c>
      <c r="G171" s="287">
        <f t="shared" si="13"/>
        <v>3.2116499999999997</v>
      </c>
      <c r="H171" s="308"/>
      <c r="I171" s="112"/>
      <c r="J171" s="306"/>
      <c r="K171" s="307"/>
      <c r="L171" s="309"/>
      <c r="M171" s="304"/>
      <c r="N171" s="296" t="s">
        <v>71</v>
      </c>
      <c r="O171" s="296">
        <f>I171+G171</f>
        <v>3.2116499999999997</v>
      </c>
      <c r="P171" s="310">
        <f>O171*E171</f>
        <v>8.189707499999999</v>
      </c>
      <c r="Q171" s="82"/>
    </row>
    <row r="172" spans="1:17" ht="45">
      <c r="A172" s="228"/>
      <c r="B172" s="227"/>
      <c r="C172" s="306" t="s">
        <v>135</v>
      </c>
      <c r="D172" s="307" t="s">
        <v>18</v>
      </c>
      <c r="E172" s="304">
        <v>255</v>
      </c>
      <c r="F172" s="308"/>
      <c r="G172" s="287"/>
      <c r="H172" s="308"/>
      <c r="I172" s="112"/>
      <c r="J172" s="306" t="s">
        <v>288</v>
      </c>
      <c r="K172" s="307" t="s">
        <v>18</v>
      </c>
      <c r="L172" s="309">
        <v>1</v>
      </c>
      <c r="M172" s="112">
        <f>L172*E172</f>
        <v>255</v>
      </c>
      <c r="N172" s="296">
        <v>0.14599999999999999</v>
      </c>
      <c r="O172" s="296">
        <f t="shared" si="15"/>
        <v>0.165278862</v>
      </c>
      <c r="P172" s="310">
        <f>O172*E172</f>
        <v>42.146109809999999</v>
      </c>
      <c r="Q172" s="82"/>
    </row>
    <row r="173" spans="1:17" ht="15.75">
      <c r="A173" s="228"/>
      <c r="B173" s="227"/>
      <c r="C173" s="227"/>
      <c r="D173" s="227"/>
      <c r="E173" s="227"/>
      <c r="F173" s="227"/>
      <c r="G173" s="287"/>
      <c r="H173" s="227"/>
      <c r="I173" s="112"/>
      <c r="J173" s="227"/>
      <c r="K173" s="227"/>
      <c r="L173" s="227"/>
      <c r="M173" s="227"/>
      <c r="N173" s="227"/>
      <c r="O173" s="296"/>
      <c r="P173" s="227"/>
      <c r="Q173" s="82"/>
    </row>
    <row r="174" spans="1:17" ht="30">
      <c r="A174" s="228">
        <v>4</v>
      </c>
      <c r="B174" s="135" t="s">
        <v>136</v>
      </c>
      <c r="C174" s="137" t="s">
        <v>199</v>
      </c>
      <c r="D174" s="135" t="s">
        <v>29</v>
      </c>
      <c r="E174" s="164">
        <v>4</v>
      </c>
      <c r="F174" s="164">
        <v>0.68600000000000005</v>
      </c>
      <c r="G174" s="287">
        <f t="shared" si="13"/>
        <v>1.4687946000000001</v>
      </c>
      <c r="H174" s="164">
        <v>0.35099999999999998</v>
      </c>
      <c r="I174" s="112">
        <f t="shared" si="14"/>
        <v>1.0022734799999999</v>
      </c>
      <c r="J174" s="137" t="s">
        <v>137</v>
      </c>
      <c r="K174" s="135" t="s">
        <v>29</v>
      </c>
      <c r="L174" s="239">
        <v>1</v>
      </c>
      <c r="M174" s="112">
        <f>L174*E174</f>
        <v>4</v>
      </c>
      <c r="N174" s="287">
        <v>6.2</v>
      </c>
      <c r="O174" s="296">
        <f t="shared" si="15"/>
        <v>9.4897594800000018</v>
      </c>
      <c r="P174" s="169">
        <f>E174*O174</f>
        <v>37.959037920000007</v>
      </c>
      <c r="Q174" s="82"/>
    </row>
    <row r="175" spans="1:17" ht="15.75">
      <c r="A175" s="228"/>
      <c r="B175" s="227"/>
      <c r="C175" s="227"/>
      <c r="D175" s="227"/>
      <c r="E175" s="227"/>
      <c r="F175" s="227"/>
      <c r="G175" s="287"/>
      <c r="H175" s="227"/>
      <c r="I175" s="112"/>
      <c r="J175" s="227"/>
      <c r="K175" s="227"/>
      <c r="L175" s="227"/>
      <c r="M175" s="227"/>
      <c r="N175" s="227"/>
      <c r="O175" s="296"/>
      <c r="P175" s="227"/>
      <c r="Q175" s="82"/>
    </row>
    <row r="176" spans="1:17" ht="30">
      <c r="A176" s="228">
        <v>5</v>
      </c>
      <c r="B176" s="135" t="s">
        <v>138</v>
      </c>
      <c r="C176" s="137" t="s">
        <v>198</v>
      </c>
      <c r="D176" s="307" t="s">
        <v>29</v>
      </c>
      <c r="E176" s="308">
        <v>16</v>
      </c>
      <c r="F176" s="308">
        <v>0.61</v>
      </c>
      <c r="G176" s="287">
        <f t="shared" si="13"/>
        <v>1.3060709999999998</v>
      </c>
      <c r="H176" s="308">
        <v>0.57999999999999996</v>
      </c>
      <c r="I176" s="112">
        <f t="shared" si="14"/>
        <v>1.6561783999999999</v>
      </c>
      <c r="J176" s="306" t="s">
        <v>139</v>
      </c>
      <c r="K176" s="307" t="s">
        <v>29</v>
      </c>
      <c r="L176" s="309">
        <v>1</v>
      </c>
      <c r="M176" s="304">
        <f>L176*E176</f>
        <v>16</v>
      </c>
      <c r="N176" s="296">
        <v>4.5</v>
      </c>
      <c r="O176" s="296">
        <f t="shared" si="15"/>
        <v>8.0564608999999994</v>
      </c>
      <c r="P176" s="298">
        <f>E176*O176</f>
        <v>128.90337439999999</v>
      </c>
      <c r="Q176" s="82"/>
    </row>
    <row r="177" spans="1:17" ht="15.75">
      <c r="A177" s="228"/>
      <c r="B177" s="227"/>
      <c r="C177" s="227"/>
      <c r="D177" s="227"/>
      <c r="E177" s="227"/>
      <c r="F177" s="227"/>
      <c r="G177" s="287"/>
      <c r="H177" s="227"/>
      <c r="I177" s="112"/>
      <c r="J177" s="227"/>
      <c r="K177" s="227"/>
      <c r="L177" s="227"/>
      <c r="M177" s="227"/>
      <c r="N177" s="227"/>
      <c r="O177" s="296"/>
      <c r="P177" s="227"/>
      <c r="Q177" s="82"/>
    </row>
    <row r="178" spans="1:17">
      <c r="A178" s="228">
        <v>6</v>
      </c>
      <c r="B178" s="135" t="s">
        <v>140</v>
      </c>
      <c r="C178" s="137" t="s">
        <v>142</v>
      </c>
      <c r="D178" s="135" t="s">
        <v>29</v>
      </c>
      <c r="E178" s="164">
        <v>8</v>
      </c>
      <c r="F178" s="164">
        <v>0.10299999999999999</v>
      </c>
      <c r="G178" s="287">
        <f t="shared" si="13"/>
        <v>0.22053329999999996</v>
      </c>
      <c r="H178" s="164"/>
      <c r="I178" s="112"/>
      <c r="J178" s="137" t="s">
        <v>141</v>
      </c>
      <c r="K178" s="307" t="s">
        <v>29</v>
      </c>
      <c r="L178" s="239">
        <v>1</v>
      </c>
      <c r="M178" s="112">
        <f>L178*E178</f>
        <v>8</v>
      </c>
      <c r="N178" s="287">
        <v>0.84</v>
      </c>
      <c r="O178" s="296">
        <f t="shared" si="15"/>
        <v>1.1714527800000001</v>
      </c>
      <c r="P178" s="169">
        <f>E178*O178</f>
        <v>9.3716222400000007</v>
      </c>
      <c r="Q178" s="82"/>
    </row>
    <row r="179" spans="1:17" ht="15.75">
      <c r="A179" s="228"/>
      <c r="B179" s="227"/>
      <c r="C179" s="227"/>
      <c r="D179" s="227"/>
      <c r="E179" s="227"/>
      <c r="F179" s="227"/>
      <c r="G179" s="287"/>
      <c r="H179" s="227"/>
      <c r="I179" s="112"/>
      <c r="J179" s="227"/>
      <c r="K179" s="227"/>
      <c r="L179" s="227"/>
      <c r="M179" s="227"/>
      <c r="N179" s="227"/>
      <c r="O179" s="296"/>
      <c r="P179" s="227"/>
      <c r="Q179" s="82"/>
    </row>
    <row r="180" spans="1:17" ht="30">
      <c r="A180" s="228">
        <v>7</v>
      </c>
      <c r="B180" s="135" t="s">
        <v>143</v>
      </c>
      <c r="C180" s="137" t="s">
        <v>144</v>
      </c>
      <c r="D180" s="135" t="s">
        <v>29</v>
      </c>
      <c r="E180" s="164">
        <v>32</v>
      </c>
      <c r="F180" s="164">
        <v>0.125</v>
      </c>
      <c r="G180" s="287">
        <f t="shared" si="13"/>
        <v>0.26763749999999997</v>
      </c>
      <c r="H180" s="164"/>
      <c r="I180" s="112"/>
      <c r="J180" s="137" t="s">
        <v>145</v>
      </c>
      <c r="K180" s="135" t="s">
        <v>29</v>
      </c>
      <c r="L180" s="239">
        <v>1</v>
      </c>
      <c r="M180" s="112">
        <f>L180*E180</f>
        <v>32</v>
      </c>
      <c r="N180" s="287">
        <v>0.75</v>
      </c>
      <c r="O180" s="296">
        <f t="shared" si="15"/>
        <v>1.11667275</v>
      </c>
      <c r="P180" s="169">
        <f>E180*O180</f>
        <v>35.733528</v>
      </c>
      <c r="Q180" s="82"/>
    </row>
    <row r="181" spans="1:17" ht="15.75">
      <c r="A181" s="228"/>
      <c r="B181" s="227"/>
      <c r="C181" s="227"/>
      <c r="D181" s="227"/>
      <c r="E181" s="227"/>
      <c r="F181" s="227"/>
      <c r="G181" s="287"/>
      <c r="H181" s="227"/>
      <c r="I181" s="112"/>
      <c r="J181" s="227"/>
      <c r="K181" s="227"/>
      <c r="L181" s="227"/>
      <c r="M181" s="227"/>
      <c r="N181" s="227"/>
      <c r="O181" s="296"/>
      <c r="P181" s="227"/>
      <c r="Q181" s="82"/>
    </row>
    <row r="182" spans="1:17" ht="30">
      <c r="A182" s="228">
        <v>8</v>
      </c>
      <c r="B182" s="135" t="s">
        <v>146</v>
      </c>
      <c r="C182" s="137" t="s">
        <v>147</v>
      </c>
      <c r="D182" s="135" t="s">
        <v>29</v>
      </c>
      <c r="E182" s="164">
        <v>40</v>
      </c>
      <c r="F182" s="164">
        <v>1</v>
      </c>
      <c r="G182" s="287">
        <f t="shared" si="13"/>
        <v>2.1410999999999998</v>
      </c>
      <c r="H182" s="164">
        <v>0.04</v>
      </c>
      <c r="I182" s="112">
        <f t="shared" si="14"/>
        <v>0.11421920000000001</v>
      </c>
      <c r="J182" s="137" t="s">
        <v>148</v>
      </c>
      <c r="K182" s="135" t="s">
        <v>29</v>
      </c>
      <c r="L182" s="239">
        <v>1</v>
      </c>
      <c r="M182" s="112">
        <f>L182*E182</f>
        <v>40</v>
      </c>
      <c r="N182" s="112">
        <v>7.4999999999999997E-2</v>
      </c>
      <c r="O182" s="296">
        <f t="shared" si="15"/>
        <v>2.3402227249999998</v>
      </c>
      <c r="P182" s="169">
        <f>E182*O182</f>
        <v>93.608908999999997</v>
      </c>
      <c r="Q182" s="82"/>
    </row>
    <row r="183" spans="1:17">
      <c r="A183" s="228"/>
      <c r="B183" s="135"/>
      <c r="C183" s="137"/>
      <c r="D183" s="135"/>
      <c r="E183" s="164"/>
      <c r="F183" s="164"/>
      <c r="G183" s="287"/>
      <c r="H183" s="164"/>
      <c r="I183" s="112"/>
      <c r="J183" s="137"/>
      <c r="K183" s="135"/>
      <c r="L183" s="239"/>
      <c r="M183" s="112"/>
      <c r="N183" s="112"/>
      <c r="O183" s="296"/>
      <c r="P183" s="169"/>
      <c r="Q183" s="82"/>
    </row>
    <row r="184" spans="1:17" ht="30">
      <c r="A184" s="228">
        <v>9</v>
      </c>
      <c r="B184" s="135" t="s">
        <v>146</v>
      </c>
      <c r="C184" s="137" t="s">
        <v>149</v>
      </c>
      <c r="D184" s="135" t="s">
        <v>29</v>
      </c>
      <c r="E184" s="164">
        <v>46</v>
      </c>
      <c r="F184" s="164">
        <v>1</v>
      </c>
      <c r="G184" s="287">
        <f t="shared" si="13"/>
        <v>2.1410999999999998</v>
      </c>
      <c r="H184" s="164">
        <v>0.04</v>
      </c>
      <c r="I184" s="112">
        <f t="shared" si="14"/>
        <v>0.11421920000000001</v>
      </c>
      <c r="J184" s="137" t="s">
        <v>150</v>
      </c>
      <c r="K184" s="135" t="s">
        <v>29</v>
      </c>
      <c r="L184" s="239">
        <v>1</v>
      </c>
      <c r="M184" s="112">
        <f>L184*E184</f>
        <v>46</v>
      </c>
      <c r="N184" s="112">
        <v>7.4999999999999997E-2</v>
      </c>
      <c r="O184" s="296">
        <f t="shared" si="15"/>
        <v>2.3402227249999998</v>
      </c>
      <c r="P184" s="169">
        <f>E184*O184</f>
        <v>107.65024534999999</v>
      </c>
      <c r="Q184" s="82"/>
    </row>
    <row r="185" spans="1:17" ht="15.75">
      <c r="A185" s="228"/>
      <c r="B185" s="227"/>
      <c r="C185" s="227"/>
      <c r="D185" s="227"/>
      <c r="E185" s="227"/>
      <c r="F185" s="227"/>
      <c r="G185" s="227"/>
      <c r="H185" s="227"/>
      <c r="I185" s="227"/>
      <c r="J185" s="227"/>
      <c r="K185" s="227"/>
      <c r="L185" s="227"/>
      <c r="M185" s="227"/>
      <c r="N185" s="227"/>
      <c r="O185" s="227"/>
      <c r="P185" s="227"/>
      <c r="Q185" s="82"/>
    </row>
    <row r="186" spans="1:17" ht="15.75">
      <c r="A186" s="228">
        <v>10</v>
      </c>
      <c r="B186" s="227"/>
      <c r="C186" s="227" t="s">
        <v>173</v>
      </c>
      <c r="D186" s="228" t="s">
        <v>174</v>
      </c>
      <c r="E186" s="112">
        <v>25</v>
      </c>
      <c r="F186" s="227"/>
      <c r="G186" s="227"/>
      <c r="H186" s="227"/>
      <c r="I186" s="227"/>
      <c r="J186" s="256" t="s">
        <v>175</v>
      </c>
      <c r="K186" s="311" t="s">
        <v>174</v>
      </c>
      <c r="L186" s="239">
        <v>1</v>
      </c>
      <c r="M186" s="112">
        <v>25</v>
      </c>
      <c r="N186" s="112">
        <v>2.1</v>
      </c>
      <c r="O186" s="256">
        <f>N186*L186*1.132047+I186+G186</f>
        <v>2.3772987000000003</v>
      </c>
      <c r="P186" s="256">
        <f>O186*E186</f>
        <v>59.432467500000008</v>
      </c>
      <c r="Q186" s="82"/>
    </row>
    <row r="187" spans="1:17" ht="15.75">
      <c r="A187" s="228"/>
      <c r="B187" s="227"/>
      <c r="C187" s="227"/>
      <c r="D187" s="227"/>
      <c r="E187" s="227"/>
      <c r="F187" s="227"/>
      <c r="G187" s="227"/>
      <c r="H187" s="227"/>
      <c r="I187" s="227"/>
      <c r="J187" s="256"/>
      <c r="K187" s="256"/>
      <c r="L187" s="256"/>
      <c r="M187" s="256"/>
      <c r="N187" s="256"/>
      <c r="O187" s="256"/>
      <c r="P187" s="256"/>
      <c r="Q187" s="82"/>
    </row>
    <row r="188" spans="1:17" ht="15.75">
      <c r="A188" s="227"/>
      <c r="B188" s="227"/>
      <c r="C188" s="227"/>
      <c r="D188" s="227"/>
      <c r="E188" s="227"/>
      <c r="F188" s="227"/>
      <c r="G188" s="227"/>
      <c r="H188" s="227"/>
      <c r="I188" s="227"/>
      <c r="J188" s="227" t="s">
        <v>75</v>
      </c>
      <c r="K188" s="227"/>
      <c r="L188" s="227"/>
      <c r="M188" s="227"/>
      <c r="N188" s="227"/>
      <c r="O188" s="227"/>
      <c r="P188" s="268">
        <f>P186+P184+P182+P180+P178+P176+P174+P172+P171+P169+P167</f>
        <v>607.87970661999998</v>
      </c>
      <c r="Q188" s="82"/>
    </row>
    <row r="189" spans="1:17" ht="15.75">
      <c r="A189" s="227"/>
      <c r="B189" s="227"/>
      <c r="C189" s="227"/>
      <c r="D189" s="227"/>
      <c r="E189" s="227"/>
      <c r="F189" s="227"/>
      <c r="G189" s="227"/>
      <c r="H189" s="227"/>
      <c r="I189" s="227"/>
      <c r="J189" s="227"/>
      <c r="K189" s="227"/>
      <c r="L189" s="227"/>
      <c r="M189" s="227"/>
      <c r="N189" s="227"/>
      <c r="O189" s="227"/>
      <c r="P189" s="227"/>
      <c r="Q189" s="82"/>
    </row>
    <row r="190" spans="1:17" ht="15.75">
      <c r="A190" s="227"/>
      <c r="B190" s="227"/>
      <c r="C190" s="227"/>
      <c r="D190" s="227"/>
      <c r="E190" s="227"/>
      <c r="F190" s="227"/>
      <c r="G190" s="227"/>
      <c r="H190" s="227"/>
      <c r="I190" s="227"/>
      <c r="J190" s="227" t="s">
        <v>76</v>
      </c>
      <c r="K190" s="227"/>
      <c r="L190" s="227"/>
      <c r="M190" s="227"/>
      <c r="N190" s="227"/>
      <c r="O190" s="227"/>
      <c r="P190" s="259">
        <f>P188*13.3/100</f>
        <v>80.84800098046</v>
      </c>
      <c r="Q190" s="82"/>
    </row>
    <row r="191" spans="1:17" ht="15.75">
      <c r="A191" s="227"/>
      <c r="B191" s="227"/>
      <c r="C191" s="227"/>
      <c r="D191" s="227"/>
      <c r="E191" s="227"/>
      <c r="F191" s="227"/>
      <c r="G191" s="227"/>
      <c r="H191" s="227"/>
      <c r="I191" s="227"/>
      <c r="J191" s="227"/>
      <c r="K191" s="227"/>
      <c r="L191" s="227"/>
      <c r="M191" s="227"/>
      <c r="N191" s="227"/>
      <c r="O191" s="227"/>
      <c r="P191" s="259"/>
      <c r="Q191" s="82"/>
    </row>
    <row r="192" spans="1:17" ht="15.75">
      <c r="A192" s="227"/>
      <c r="B192" s="227"/>
      <c r="C192" s="227"/>
      <c r="D192" s="227"/>
      <c r="E192" s="227"/>
      <c r="F192" s="227"/>
      <c r="G192" s="227"/>
      <c r="H192" s="227"/>
      <c r="I192" s="227"/>
      <c r="J192" s="227" t="s">
        <v>75</v>
      </c>
      <c r="K192" s="227"/>
      <c r="L192" s="227"/>
      <c r="M192" s="227"/>
      <c r="N192" s="227"/>
      <c r="O192" s="227"/>
      <c r="P192" s="258">
        <f>P190+P188</f>
        <v>688.72770760046001</v>
      </c>
      <c r="Q192" s="82"/>
    </row>
    <row r="193" spans="1:17" ht="15.75">
      <c r="A193" s="227"/>
      <c r="B193" s="227"/>
      <c r="C193" s="227"/>
      <c r="D193" s="227"/>
      <c r="E193" s="227"/>
      <c r="F193" s="227"/>
      <c r="G193" s="227"/>
      <c r="H193" s="227"/>
      <c r="I193" s="227"/>
      <c r="J193" s="227"/>
      <c r="K193" s="227"/>
      <c r="L193" s="227"/>
      <c r="M193" s="227"/>
      <c r="N193" s="227"/>
      <c r="O193" s="227"/>
      <c r="P193" s="259"/>
      <c r="Q193" s="82"/>
    </row>
    <row r="194" spans="1:17" ht="15.75">
      <c r="A194" s="227"/>
      <c r="B194" s="227"/>
      <c r="C194" s="227"/>
      <c r="D194" s="227"/>
      <c r="E194" s="227"/>
      <c r="F194" s="227"/>
      <c r="G194" s="227"/>
      <c r="H194" s="227"/>
      <c r="I194" s="227"/>
      <c r="J194" s="227" t="s">
        <v>126</v>
      </c>
      <c r="K194" s="260">
        <v>0.11</v>
      </c>
      <c r="L194" s="227"/>
      <c r="M194" s="227"/>
      <c r="N194" s="227"/>
      <c r="O194" s="227"/>
      <c r="P194" s="259">
        <f>P192*11/100</f>
        <v>75.760047836050603</v>
      </c>
      <c r="Q194" s="82"/>
    </row>
    <row r="195" spans="1:17" ht="15.75">
      <c r="A195" s="227"/>
      <c r="B195" s="227"/>
      <c r="C195" s="227"/>
      <c r="D195" s="227"/>
      <c r="E195" s="227"/>
      <c r="F195" s="227"/>
      <c r="G195" s="227"/>
      <c r="H195" s="227"/>
      <c r="I195" s="227"/>
      <c r="J195" s="227"/>
      <c r="K195" s="227"/>
      <c r="L195" s="227"/>
      <c r="M195" s="227"/>
      <c r="N195" s="227"/>
      <c r="O195" s="227"/>
      <c r="P195" s="259"/>
      <c r="Q195" s="82"/>
    </row>
    <row r="196" spans="1:17" ht="15.75">
      <c r="A196" s="227"/>
      <c r="B196" s="227"/>
      <c r="C196" s="227"/>
      <c r="D196" s="227"/>
      <c r="E196" s="227"/>
      <c r="F196" s="227"/>
      <c r="G196" s="227"/>
      <c r="H196" s="227"/>
      <c r="I196" s="227"/>
      <c r="J196" s="257" t="s">
        <v>75</v>
      </c>
      <c r="K196" s="227"/>
      <c r="L196" s="227"/>
      <c r="M196" s="227"/>
      <c r="N196" s="227"/>
      <c r="O196" s="227"/>
      <c r="P196" s="274">
        <f>P194+P192</f>
        <v>764.48775543651061</v>
      </c>
      <c r="Q196" s="82"/>
    </row>
    <row r="197" spans="1:17" ht="15.75">
      <c r="A197" s="227"/>
      <c r="B197" s="227"/>
      <c r="C197" s="227"/>
      <c r="D197" s="227"/>
      <c r="E197" s="227"/>
      <c r="F197" s="227"/>
      <c r="G197" s="227"/>
      <c r="H197" s="227"/>
      <c r="I197" s="227"/>
      <c r="J197" s="227"/>
      <c r="K197" s="227"/>
      <c r="L197" s="227"/>
      <c r="M197" s="227"/>
      <c r="N197" s="227"/>
      <c r="O197" s="227"/>
      <c r="P197" s="227"/>
    </row>
    <row r="198" spans="1:17" ht="15.75">
      <c r="A198" s="227"/>
      <c r="B198" s="256"/>
      <c r="C198" s="256"/>
      <c r="D198" s="256"/>
      <c r="E198" s="256"/>
      <c r="F198" s="256"/>
      <c r="G198" s="256"/>
      <c r="H198" s="256"/>
      <c r="I198" s="256"/>
      <c r="J198" s="256"/>
      <c r="K198" s="256"/>
      <c r="L198" s="256"/>
      <c r="M198" s="256"/>
      <c r="N198" s="256"/>
      <c r="O198" s="256"/>
      <c r="P198" s="256"/>
    </row>
    <row r="199" spans="1:17" ht="15.75">
      <c r="A199" s="227"/>
      <c r="B199" s="256"/>
      <c r="C199" s="256"/>
      <c r="D199" s="256"/>
      <c r="E199" s="256"/>
      <c r="F199" s="256"/>
      <c r="G199" s="256"/>
      <c r="H199" s="256"/>
      <c r="I199" s="256"/>
      <c r="J199" s="256"/>
      <c r="K199" s="256"/>
      <c r="L199" s="256"/>
      <c r="M199" s="256"/>
      <c r="N199" s="256"/>
      <c r="O199" s="256"/>
      <c r="P199" s="256"/>
    </row>
    <row r="200" spans="1:17" ht="15.75">
      <c r="A200" s="227"/>
      <c r="B200" s="256"/>
      <c r="C200" s="256"/>
      <c r="D200" s="256"/>
      <c r="E200" s="256"/>
      <c r="F200" s="256"/>
      <c r="G200" s="256"/>
      <c r="H200" s="256" t="s">
        <v>176</v>
      </c>
      <c r="I200" s="256"/>
      <c r="J200" s="256"/>
      <c r="K200" s="256"/>
      <c r="L200" s="256"/>
      <c r="M200" s="256"/>
      <c r="N200" s="256"/>
      <c r="O200" s="256"/>
      <c r="P200" s="256"/>
    </row>
    <row r="201" spans="1:17" ht="15.75">
      <c r="A201" s="227"/>
      <c r="B201" s="256"/>
      <c r="C201" s="256"/>
      <c r="D201" s="256"/>
      <c r="E201" s="256"/>
      <c r="F201" s="256"/>
      <c r="G201" s="256"/>
      <c r="H201" s="256"/>
      <c r="I201" s="256"/>
      <c r="J201" s="256"/>
      <c r="K201" s="256"/>
      <c r="L201" s="256"/>
      <c r="M201" s="256"/>
      <c r="N201" s="256"/>
      <c r="O201" s="256"/>
      <c r="P201" s="256"/>
    </row>
    <row r="202" spans="1:17" ht="30">
      <c r="A202" s="312">
        <v>1</v>
      </c>
      <c r="B202" s="313" t="s">
        <v>177</v>
      </c>
      <c r="C202" s="314" t="s">
        <v>200</v>
      </c>
      <c r="D202" s="315" t="s">
        <v>178</v>
      </c>
      <c r="E202" s="316">
        <v>16</v>
      </c>
      <c r="F202" s="316">
        <v>0.25</v>
      </c>
      <c r="G202" s="112">
        <f>F202*2.14111</f>
        <v>0.53527749999999996</v>
      </c>
      <c r="H202" s="316">
        <v>0.06</v>
      </c>
      <c r="I202" s="112">
        <f>H202*2.85548</f>
        <v>0.1713288</v>
      </c>
      <c r="J202" s="314" t="s">
        <v>179</v>
      </c>
      <c r="K202" s="313" t="s">
        <v>55</v>
      </c>
      <c r="L202" s="316">
        <v>0.5</v>
      </c>
      <c r="M202" s="316">
        <f>L202*E202</f>
        <v>8</v>
      </c>
      <c r="N202" s="317">
        <v>0.25</v>
      </c>
      <c r="O202" s="317">
        <f>N202*L202*1.132047+I202+G202</f>
        <v>0.84811217500000002</v>
      </c>
      <c r="P202" s="318">
        <f>O202*E202</f>
        <v>13.5697948</v>
      </c>
    </row>
    <row r="203" spans="1:17" ht="30">
      <c r="A203" s="313"/>
      <c r="B203" s="313"/>
      <c r="C203" s="314"/>
      <c r="D203" s="313"/>
      <c r="E203" s="319"/>
      <c r="F203" s="316"/>
      <c r="G203" s="112"/>
      <c r="H203" s="316"/>
      <c r="I203" s="112"/>
      <c r="J203" s="314" t="s">
        <v>180</v>
      </c>
      <c r="K203" s="313" t="s">
        <v>29</v>
      </c>
      <c r="L203" s="316">
        <v>1</v>
      </c>
      <c r="M203" s="316">
        <v>80</v>
      </c>
      <c r="N203" s="317">
        <v>4.1390000000000002</v>
      </c>
      <c r="O203" s="317">
        <f t="shared" ref="O203:O212" si="16">N203*L203*1.132047+I203+G203</f>
        <v>4.6855425330000005</v>
      </c>
      <c r="P203" s="318">
        <f>O203*M203</f>
        <v>374.84340264000002</v>
      </c>
    </row>
    <row r="204" spans="1:17">
      <c r="A204" s="313"/>
      <c r="B204" s="313"/>
      <c r="C204" s="314"/>
      <c r="D204" s="313"/>
      <c r="E204" s="319"/>
      <c r="F204" s="313"/>
      <c r="G204" s="112"/>
      <c r="H204" s="313"/>
      <c r="I204" s="112"/>
      <c r="J204" s="314"/>
      <c r="K204" s="313"/>
      <c r="L204" s="316"/>
      <c r="M204" s="316"/>
      <c r="N204" s="317"/>
      <c r="O204" s="317"/>
      <c r="P204" s="318"/>
    </row>
    <row r="205" spans="1:17" ht="30">
      <c r="A205" s="313">
        <v>2</v>
      </c>
      <c r="B205" s="313" t="s">
        <v>181</v>
      </c>
      <c r="C205" s="314" t="s">
        <v>182</v>
      </c>
      <c r="D205" s="313" t="s">
        <v>18</v>
      </c>
      <c r="E205" s="316">
        <v>14</v>
      </c>
      <c r="F205" s="313">
        <v>1.1100000000000001</v>
      </c>
      <c r="G205" s="112">
        <f t="shared" ref="G205:G212" si="17">F205*2.14111</f>
        <v>2.3766321000000001</v>
      </c>
      <c r="H205" s="313">
        <v>0.04</v>
      </c>
      <c r="I205" s="112">
        <f t="shared" ref="I205:I225" si="18">H205*2.85548</f>
        <v>0.11421920000000001</v>
      </c>
      <c r="J205" s="314" t="s">
        <v>183</v>
      </c>
      <c r="K205" s="313" t="s">
        <v>18</v>
      </c>
      <c r="L205" s="316">
        <v>1</v>
      </c>
      <c r="M205" s="316">
        <f t="shared" ref="M205:M212" si="19">L205*E205</f>
        <v>14</v>
      </c>
      <c r="N205" s="317">
        <v>0.24299999999999999</v>
      </c>
      <c r="O205" s="317">
        <f t="shared" si="16"/>
        <v>2.7659387210000004</v>
      </c>
      <c r="P205" s="320">
        <f>E205*O205</f>
        <v>38.723142094000004</v>
      </c>
    </row>
    <row r="206" spans="1:17">
      <c r="A206" s="313"/>
      <c r="B206" s="313"/>
      <c r="C206" s="314"/>
      <c r="D206" s="313"/>
      <c r="E206" s="316"/>
      <c r="F206" s="313"/>
      <c r="G206" s="112"/>
      <c r="H206" s="313"/>
      <c r="I206" s="112"/>
      <c r="J206" s="314"/>
      <c r="K206" s="313"/>
      <c r="L206" s="316"/>
      <c r="M206" s="316"/>
      <c r="N206" s="317"/>
      <c r="O206" s="317"/>
      <c r="P206" s="320"/>
    </row>
    <row r="207" spans="1:17">
      <c r="A207" s="313"/>
      <c r="B207" s="313" t="s">
        <v>181</v>
      </c>
      <c r="C207" s="314" t="s">
        <v>184</v>
      </c>
      <c r="D207" s="313" t="s">
        <v>18</v>
      </c>
      <c r="E207" s="316">
        <v>95</v>
      </c>
      <c r="F207" s="313">
        <v>1.1100000000000001</v>
      </c>
      <c r="G207" s="112">
        <f t="shared" si="17"/>
        <v>2.3766321000000001</v>
      </c>
      <c r="H207" s="313">
        <v>0.04</v>
      </c>
      <c r="I207" s="112">
        <f t="shared" si="18"/>
        <v>0.11421920000000001</v>
      </c>
      <c r="J207" s="314" t="s">
        <v>185</v>
      </c>
      <c r="K207" s="313" t="s">
        <v>18</v>
      </c>
      <c r="L207" s="316">
        <v>1</v>
      </c>
      <c r="M207" s="316">
        <f t="shared" si="19"/>
        <v>95</v>
      </c>
      <c r="N207" s="317">
        <v>0.32700000000000001</v>
      </c>
      <c r="O207" s="317">
        <f t="shared" si="16"/>
        <v>2.8610306690000002</v>
      </c>
      <c r="P207" s="320">
        <f>E207*O207</f>
        <v>271.79791355500004</v>
      </c>
    </row>
    <row r="208" spans="1:17">
      <c r="A208" s="313">
        <v>3</v>
      </c>
      <c r="B208" s="313"/>
      <c r="C208" s="314"/>
      <c r="D208" s="313"/>
      <c r="E208" s="316"/>
      <c r="F208" s="313"/>
      <c r="G208" s="112"/>
      <c r="H208" s="313"/>
      <c r="I208" s="112"/>
      <c r="J208" s="314"/>
      <c r="K208" s="313"/>
      <c r="L208" s="316"/>
      <c r="M208" s="316"/>
      <c r="N208" s="317"/>
      <c r="O208" s="317"/>
      <c r="P208" s="320"/>
    </row>
    <row r="209" spans="1:17" ht="45">
      <c r="A209" s="313"/>
      <c r="B209" s="313" t="s">
        <v>186</v>
      </c>
      <c r="C209" s="314" t="s">
        <v>187</v>
      </c>
      <c r="D209" s="313" t="s">
        <v>29</v>
      </c>
      <c r="E209" s="316">
        <v>4</v>
      </c>
      <c r="F209" s="313">
        <v>0.97</v>
      </c>
      <c r="G209" s="112">
        <f t="shared" si="17"/>
        <v>2.0768766999999997</v>
      </c>
      <c r="H209" s="313">
        <v>0.13</v>
      </c>
      <c r="I209" s="112">
        <f t="shared" si="18"/>
        <v>0.3712124</v>
      </c>
      <c r="J209" s="314" t="s">
        <v>201</v>
      </c>
      <c r="K209" s="313" t="s">
        <v>29</v>
      </c>
      <c r="L209" s="316">
        <v>1</v>
      </c>
      <c r="M209" s="316">
        <f t="shared" si="19"/>
        <v>4</v>
      </c>
      <c r="N209" s="317">
        <v>1.2</v>
      </c>
      <c r="O209" s="317">
        <f t="shared" si="16"/>
        <v>3.8065454999999995</v>
      </c>
      <c r="P209" s="320">
        <f>E209*O209</f>
        <v>15.226181999999998</v>
      </c>
    </row>
    <row r="210" spans="1:17" ht="45">
      <c r="A210" s="313">
        <v>4</v>
      </c>
      <c r="B210" s="313" t="s">
        <v>186</v>
      </c>
      <c r="C210" s="314" t="s">
        <v>188</v>
      </c>
      <c r="D210" s="313" t="s">
        <v>29</v>
      </c>
      <c r="E210" s="316">
        <v>16</v>
      </c>
      <c r="F210" s="313">
        <v>0.97</v>
      </c>
      <c r="G210" s="112">
        <f t="shared" si="17"/>
        <v>2.0768766999999997</v>
      </c>
      <c r="H210" s="313">
        <v>0.13</v>
      </c>
      <c r="I210" s="112">
        <f t="shared" si="18"/>
        <v>0.3712124</v>
      </c>
      <c r="J210" s="314" t="s">
        <v>189</v>
      </c>
      <c r="K210" s="313" t="s">
        <v>29</v>
      </c>
      <c r="L210" s="316">
        <v>1</v>
      </c>
      <c r="M210" s="316">
        <f t="shared" si="19"/>
        <v>16</v>
      </c>
      <c r="N210" s="317">
        <v>1</v>
      </c>
      <c r="O210" s="317">
        <f t="shared" si="16"/>
        <v>3.5801360999999998</v>
      </c>
      <c r="P210" s="320">
        <f>E210*O210</f>
        <v>57.282177599999997</v>
      </c>
    </row>
    <row r="211" spans="1:17">
      <c r="A211" s="313"/>
      <c r="B211" s="313"/>
      <c r="C211" s="314"/>
      <c r="D211" s="313"/>
      <c r="E211" s="316"/>
      <c r="F211" s="313"/>
      <c r="G211" s="112"/>
      <c r="H211" s="313"/>
      <c r="I211" s="112"/>
      <c r="J211" s="314"/>
      <c r="K211" s="313"/>
      <c r="L211" s="316"/>
      <c r="M211" s="316"/>
      <c r="N211" s="317"/>
      <c r="O211" s="317"/>
      <c r="P211" s="320"/>
    </row>
    <row r="212" spans="1:17" ht="60">
      <c r="A212" s="313">
        <v>5</v>
      </c>
      <c r="B212" s="313" t="s">
        <v>190</v>
      </c>
      <c r="C212" s="314" t="s">
        <v>289</v>
      </c>
      <c r="D212" s="313" t="s">
        <v>29</v>
      </c>
      <c r="E212" s="316">
        <v>8</v>
      </c>
      <c r="F212" s="313">
        <v>0.97</v>
      </c>
      <c r="G212" s="112">
        <f t="shared" si="17"/>
        <v>2.0768766999999997</v>
      </c>
      <c r="H212" s="313">
        <v>0.13</v>
      </c>
      <c r="I212" s="112">
        <f t="shared" si="18"/>
        <v>0.3712124</v>
      </c>
      <c r="J212" s="314" t="s">
        <v>289</v>
      </c>
      <c r="K212" s="313" t="s">
        <v>29</v>
      </c>
      <c r="L212" s="316">
        <v>1</v>
      </c>
      <c r="M212" s="316">
        <f t="shared" si="19"/>
        <v>8</v>
      </c>
      <c r="N212" s="317">
        <v>1</v>
      </c>
      <c r="O212" s="317">
        <f t="shared" si="16"/>
        <v>3.5801360999999998</v>
      </c>
      <c r="P212" s="320">
        <f>E212*O212</f>
        <v>28.641088799999999</v>
      </c>
    </row>
    <row r="213" spans="1:17">
      <c r="A213" s="313"/>
      <c r="B213" s="321"/>
      <c r="C213" s="322"/>
      <c r="D213" s="321"/>
      <c r="E213" s="323"/>
      <c r="F213" s="321"/>
      <c r="G213" s="112"/>
      <c r="H213" s="321"/>
      <c r="I213" s="112"/>
      <c r="J213" s="324"/>
      <c r="K213" s="313"/>
      <c r="L213" s="316"/>
      <c r="M213" s="316"/>
      <c r="N213" s="323"/>
      <c r="O213" s="317"/>
      <c r="P213" s="320">
        <f t="shared" ref="P213:P219" si="20">E213*O213</f>
        <v>0</v>
      </c>
    </row>
    <row r="214" spans="1:17" ht="30">
      <c r="A214" s="313"/>
      <c r="B214" s="313" t="s">
        <v>192</v>
      </c>
      <c r="C214" s="314" t="s">
        <v>193</v>
      </c>
      <c r="D214" s="313" t="s">
        <v>29</v>
      </c>
      <c r="E214" s="316">
        <v>8</v>
      </c>
      <c r="F214" s="313">
        <v>0.08</v>
      </c>
      <c r="G214" s="112">
        <f>F214*2.14111</f>
        <v>0.17128879999999999</v>
      </c>
      <c r="H214" s="313"/>
      <c r="I214" s="112"/>
      <c r="J214" s="314" t="s">
        <v>193</v>
      </c>
      <c r="K214" s="313" t="s">
        <v>29</v>
      </c>
      <c r="L214" s="316">
        <v>1</v>
      </c>
      <c r="M214" s="316">
        <v>8</v>
      </c>
      <c r="N214" s="317">
        <v>1.8</v>
      </c>
      <c r="O214" s="317">
        <f>N214*L214*1.132047+I214+G214</f>
        <v>2.2089734000000001</v>
      </c>
      <c r="P214" s="320">
        <f t="shared" si="20"/>
        <v>17.671787200000001</v>
      </c>
    </row>
    <row r="215" spans="1:17" ht="45">
      <c r="A215" s="313"/>
      <c r="B215" s="313" t="s">
        <v>191</v>
      </c>
      <c r="C215" s="325" t="s">
        <v>290</v>
      </c>
      <c r="D215" s="313" t="s">
        <v>29</v>
      </c>
      <c r="E215" s="317">
        <v>6</v>
      </c>
      <c r="F215" s="313"/>
      <c r="G215" s="112"/>
      <c r="H215" s="313"/>
      <c r="I215" s="112"/>
      <c r="J215" s="326" t="s">
        <v>202</v>
      </c>
      <c r="K215" s="313" t="s">
        <v>29</v>
      </c>
      <c r="L215" s="316">
        <v>1</v>
      </c>
      <c r="M215" s="317">
        <v>6</v>
      </c>
      <c r="N215" s="317">
        <v>0.12</v>
      </c>
      <c r="O215" s="317">
        <f t="shared" ref="O215:O219" si="21">N215*L215*1.132047+I215+G215</f>
        <v>0.13584563999999999</v>
      </c>
      <c r="P215" s="320">
        <f t="shared" si="20"/>
        <v>0.81507383999999994</v>
      </c>
    </row>
    <row r="216" spans="1:17" ht="30">
      <c r="A216" s="313"/>
      <c r="B216" s="313" t="s">
        <v>191</v>
      </c>
      <c r="C216" s="326" t="s">
        <v>203</v>
      </c>
      <c r="D216" s="313" t="s">
        <v>29</v>
      </c>
      <c r="E216" s="317">
        <v>6</v>
      </c>
      <c r="F216" s="313"/>
      <c r="G216" s="112"/>
      <c r="H216" s="313"/>
      <c r="I216" s="112"/>
      <c r="J216" s="326" t="s">
        <v>203</v>
      </c>
      <c r="K216" s="313" t="s">
        <v>29</v>
      </c>
      <c r="L216" s="316">
        <v>1</v>
      </c>
      <c r="M216" s="317">
        <v>6</v>
      </c>
      <c r="N216" s="317">
        <v>0.47</v>
      </c>
      <c r="O216" s="317">
        <f t="shared" si="21"/>
        <v>0.53206208999999993</v>
      </c>
      <c r="P216" s="320">
        <f t="shared" si="20"/>
        <v>3.1923725399999996</v>
      </c>
    </row>
    <row r="217" spans="1:17" ht="30">
      <c r="A217" s="313"/>
      <c r="B217" s="313" t="s">
        <v>191</v>
      </c>
      <c r="C217" s="314" t="s">
        <v>194</v>
      </c>
      <c r="D217" s="313" t="s">
        <v>29</v>
      </c>
      <c r="E217" s="316">
        <v>10</v>
      </c>
      <c r="F217" s="313"/>
      <c r="G217" s="112"/>
      <c r="H217" s="313"/>
      <c r="I217" s="112"/>
      <c r="J217" s="314" t="s">
        <v>194</v>
      </c>
      <c r="K217" s="313" t="s">
        <v>29</v>
      </c>
      <c r="L217" s="316">
        <v>1</v>
      </c>
      <c r="M217" s="316">
        <v>10</v>
      </c>
      <c r="N217" s="317">
        <v>0.28999999999999998</v>
      </c>
      <c r="O217" s="317">
        <f t="shared" si="21"/>
        <v>0.32829363</v>
      </c>
      <c r="P217" s="320">
        <f t="shared" si="20"/>
        <v>3.2829363000000003</v>
      </c>
    </row>
    <row r="218" spans="1:17" ht="30">
      <c r="A218" s="313"/>
      <c r="B218" s="313" t="s">
        <v>191</v>
      </c>
      <c r="C218" s="314" t="s">
        <v>195</v>
      </c>
      <c r="D218" s="313" t="s">
        <v>29</v>
      </c>
      <c r="E218" s="316">
        <v>20</v>
      </c>
      <c r="F218" s="313"/>
      <c r="G218" s="112"/>
      <c r="H218" s="313"/>
      <c r="I218" s="112"/>
      <c r="J218" s="314" t="s">
        <v>195</v>
      </c>
      <c r="K218" s="313" t="s">
        <v>29</v>
      </c>
      <c r="L218" s="316">
        <v>1</v>
      </c>
      <c r="M218" s="316">
        <v>20</v>
      </c>
      <c r="N218" s="317">
        <v>0.44</v>
      </c>
      <c r="O218" s="317">
        <f t="shared" si="21"/>
        <v>0.49810068000000002</v>
      </c>
      <c r="P218" s="320">
        <f t="shared" si="20"/>
        <v>9.9620136000000006</v>
      </c>
    </row>
    <row r="219" spans="1:17" ht="30.75">
      <c r="A219" s="313"/>
      <c r="B219" s="313" t="s">
        <v>196</v>
      </c>
      <c r="C219" s="327" t="s">
        <v>197</v>
      </c>
      <c r="D219" s="313" t="s">
        <v>42</v>
      </c>
      <c r="E219" s="316">
        <v>3.22</v>
      </c>
      <c r="F219" s="313">
        <v>3.73</v>
      </c>
      <c r="G219" s="112">
        <f>F219*2.14111</f>
        <v>7.9863402999999993</v>
      </c>
      <c r="H219" s="313"/>
      <c r="I219" s="112"/>
      <c r="J219" s="314" t="s">
        <v>109</v>
      </c>
      <c r="K219" s="199" t="s">
        <v>287</v>
      </c>
      <c r="L219" s="316">
        <v>1</v>
      </c>
      <c r="M219" s="317">
        <f>L219*E219</f>
        <v>3.22</v>
      </c>
      <c r="N219" s="317">
        <v>0.12</v>
      </c>
      <c r="O219" s="317">
        <f t="shared" si="21"/>
        <v>8.1221859399999996</v>
      </c>
      <c r="P219" s="320">
        <f t="shared" si="20"/>
        <v>26.153438726800001</v>
      </c>
    </row>
    <row r="220" spans="1:17" ht="15.75">
      <c r="A220" s="313"/>
      <c r="B220" s="256"/>
      <c r="C220" s="256"/>
      <c r="D220" s="256"/>
      <c r="E220" s="256"/>
      <c r="F220" s="256"/>
      <c r="G220" s="112"/>
      <c r="H220" s="256"/>
      <c r="I220" s="112"/>
      <c r="J220" s="256"/>
      <c r="K220" s="256"/>
      <c r="L220" s="256"/>
      <c r="M220" s="256"/>
      <c r="N220" s="256"/>
      <c r="O220" s="256"/>
      <c r="P220" s="256"/>
    </row>
    <row r="221" spans="1:17" ht="30">
      <c r="A221" s="228">
        <v>6</v>
      </c>
      <c r="B221" s="328" t="s">
        <v>205</v>
      </c>
      <c r="C221" s="329" t="s">
        <v>214</v>
      </c>
      <c r="D221" s="328" t="s">
        <v>206</v>
      </c>
      <c r="E221" s="330">
        <v>28</v>
      </c>
      <c r="F221" s="330">
        <v>0.88</v>
      </c>
      <c r="G221" s="112">
        <f t="shared" ref="G221:G225" si="22">F221*2.14111</f>
        <v>1.8841767999999999</v>
      </c>
      <c r="H221" s="330">
        <v>0.04</v>
      </c>
      <c r="I221" s="112">
        <f t="shared" si="18"/>
        <v>0.11421920000000001</v>
      </c>
      <c r="J221" s="329" t="s">
        <v>207</v>
      </c>
      <c r="K221" s="328" t="s">
        <v>208</v>
      </c>
      <c r="L221" s="331">
        <v>0.25</v>
      </c>
      <c r="M221" s="332">
        <f>IF(L221&lt;1,1/L221*E221)</f>
        <v>112</v>
      </c>
      <c r="N221" s="332">
        <v>0.5</v>
      </c>
      <c r="O221" s="332">
        <f>IF(L221&lt;1,((1/L221*N221))*1.132047+G221+I221)</f>
        <v>4.2624899999999997</v>
      </c>
      <c r="P221" s="333">
        <f>E221*O221</f>
        <v>119.34971999999999</v>
      </c>
    </row>
    <row r="222" spans="1:17">
      <c r="A222" s="228"/>
      <c r="B222" s="334"/>
      <c r="C222" s="329"/>
      <c r="D222" s="328"/>
      <c r="E222" s="330"/>
      <c r="F222" s="330"/>
      <c r="G222" s="112"/>
      <c r="H222" s="330"/>
      <c r="I222" s="112"/>
      <c r="J222" s="329"/>
      <c r="K222" s="328"/>
      <c r="L222" s="335"/>
      <c r="M222" s="332"/>
      <c r="N222" s="332" t="s">
        <v>71</v>
      </c>
      <c r="O222" s="332"/>
      <c r="P222" s="333"/>
    </row>
    <row r="223" spans="1:17" ht="30">
      <c r="A223" s="228">
        <v>7</v>
      </c>
      <c r="B223" s="328" t="s">
        <v>209</v>
      </c>
      <c r="C223" s="329" t="s">
        <v>210</v>
      </c>
      <c r="D223" s="328" t="s">
        <v>29</v>
      </c>
      <c r="E223" s="330">
        <v>10</v>
      </c>
      <c r="F223" s="330">
        <v>0.84</v>
      </c>
      <c r="G223" s="112">
        <f t="shared" si="22"/>
        <v>1.7985323999999998</v>
      </c>
      <c r="H223" s="330">
        <v>0.05</v>
      </c>
      <c r="I223" s="112">
        <f t="shared" si="18"/>
        <v>0.14277400000000001</v>
      </c>
      <c r="J223" s="329" t="s">
        <v>211</v>
      </c>
      <c r="K223" s="328" t="s">
        <v>29</v>
      </c>
      <c r="L223" s="336">
        <v>1</v>
      </c>
      <c r="M223" s="332">
        <f>L223*E223</f>
        <v>10</v>
      </c>
      <c r="N223" s="332">
        <v>1.2</v>
      </c>
      <c r="O223" s="332">
        <f>((L223*N223)*1.132047+G223+I223)</f>
        <v>3.2997627999999999</v>
      </c>
      <c r="P223" s="333">
        <f>E223*O223</f>
        <v>32.997627999999999</v>
      </c>
      <c r="Q223" s="82"/>
    </row>
    <row r="224" spans="1:17">
      <c r="A224" s="228"/>
      <c r="B224" s="334"/>
      <c r="C224" s="329"/>
      <c r="D224" s="328"/>
      <c r="E224" s="330"/>
      <c r="F224" s="330"/>
      <c r="G224" s="112"/>
      <c r="H224" s="330"/>
      <c r="I224" s="112"/>
      <c r="J224" s="329"/>
      <c r="K224" s="328"/>
      <c r="L224" s="328"/>
      <c r="M224" s="332"/>
      <c r="N224" s="332"/>
      <c r="O224" s="332"/>
      <c r="P224" s="333"/>
      <c r="Q224" s="82"/>
    </row>
    <row r="225" spans="1:17" ht="30.75">
      <c r="A225" s="228">
        <v>8</v>
      </c>
      <c r="B225" s="313" t="s">
        <v>212</v>
      </c>
      <c r="C225" s="327" t="s">
        <v>213</v>
      </c>
      <c r="D225" s="313" t="s">
        <v>29</v>
      </c>
      <c r="E225" s="316">
        <v>10</v>
      </c>
      <c r="F225" s="316">
        <v>0.82099999999999995</v>
      </c>
      <c r="G225" s="112">
        <f t="shared" si="22"/>
        <v>1.7578513099999997</v>
      </c>
      <c r="H225" s="316">
        <v>0.68600000000000005</v>
      </c>
      <c r="I225" s="112">
        <f t="shared" si="18"/>
        <v>1.9588592800000002</v>
      </c>
      <c r="J225" s="314"/>
      <c r="K225" s="313"/>
      <c r="L225" s="316"/>
      <c r="M225" s="317"/>
      <c r="N225" s="317"/>
      <c r="O225" s="337">
        <f>G225+I225</f>
        <v>3.7167105899999999</v>
      </c>
      <c r="P225" s="320">
        <f>E225*O225</f>
        <v>37.167105899999996</v>
      </c>
      <c r="Q225" s="82"/>
    </row>
    <row r="226" spans="1:17" ht="15.75">
      <c r="A226" s="227"/>
      <c r="B226" s="256"/>
      <c r="C226" s="256"/>
      <c r="D226" s="256"/>
      <c r="E226" s="256"/>
      <c r="F226" s="256"/>
      <c r="G226" s="256"/>
      <c r="H226" s="256"/>
      <c r="I226" s="256"/>
      <c r="J226" s="256"/>
      <c r="K226" s="256"/>
      <c r="L226" s="256"/>
      <c r="M226" s="256"/>
      <c r="N226" s="256"/>
      <c r="O226" s="256"/>
      <c r="P226" s="256"/>
      <c r="Q226" s="82"/>
    </row>
    <row r="227" spans="1:17" ht="15.75">
      <c r="A227" s="313"/>
      <c r="B227" s="256"/>
      <c r="C227" s="256"/>
      <c r="D227" s="256"/>
      <c r="E227" s="256"/>
      <c r="F227" s="256"/>
      <c r="G227" s="256"/>
      <c r="H227" s="256"/>
      <c r="I227" s="256"/>
      <c r="J227" s="256"/>
      <c r="K227" s="256"/>
      <c r="L227" s="256" t="s">
        <v>75</v>
      </c>
      <c r="M227" s="256"/>
      <c r="N227" s="256"/>
      <c r="O227" s="256"/>
      <c r="P227" s="284">
        <f>+P225+P223+P221+P219+P218+P217+P216+P215+P212+P210+P209+P207+P203+P202</f>
        <v>994.28084830180001</v>
      </c>
      <c r="Q227" s="82"/>
    </row>
    <row r="228" spans="1:17" ht="15.75">
      <c r="A228" s="313"/>
      <c r="B228" s="256"/>
      <c r="C228" s="256"/>
      <c r="D228" s="256"/>
      <c r="E228" s="256"/>
      <c r="F228" s="256"/>
      <c r="G228" s="256"/>
      <c r="H228" s="256"/>
      <c r="I228" s="256"/>
      <c r="J228" s="256"/>
      <c r="K228" s="256"/>
      <c r="L228" s="256"/>
      <c r="M228" s="256"/>
      <c r="N228" s="256"/>
      <c r="O228" s="256"/>
      <c r="P228" s="256"/>
      <c r="Q228" s="82"/>
    </row>
    <row r="229" spans="1:17" ht="15.75">
      <c r="A229" s="313"/>
      <c r="B229" s="256"/>
      <c r="C229" s="256"/>
      <c r="D229" s="256"/>
      <c r="E229" s="256"/>
      <c r="F229" s="256"/>
      <c r="G229" s="256"/>
      <c r="H229" s="256"/>
      <c r="I229" s="256"/>
      <c r="J229" s="256"/>
      <c r="K229" s="256"/>
      <c r="L229" s="227" t="s">
        <v>76</v>
      </c>
      <c r="M229" s="227"/>
      <c r="N229" s="227"/>
      <c r="O229" s="227"/>
      <c r="P229" s="227">
        <f>P227*13.3/100</f>
        <v>132.23935282413942</v>
      </c>
      <c r="Q229" s="82"/>
    </row>
    <row r="230" spans="1:17" ht="15.75">
      <c r="A230" s="313"/>
      <c r="B230" s="256"/>
      <c r="C230" s="256"/>
      <c r="D230" s="256"/>
      <c r="E230" s="256"/>
      <c r="F230" s="256"/>
      <c r="G230" s="256"/>
      <c r="H230" s="256"/>
      <c r="I230" s="256"/>
      <c r="J230" s="256"/>
      <c r="K230" s="256"/>
      <c r="L230" s="227"/>
      <c r="M230" s="227"/>
      <c r="N230" s="227"/>
      <c r="O230" s="227"/>
      <c r="P230" s="227"/>
    </row>
    <row r="231" spans="1:17" ht="15.75">
      <c r="A231" s="313"/>
      <c r="B231" s="313"/>
      <c r="C231" s="314"/>
      <c r="D231" s="313"/>
      <c r="E231" s="316"/>
      <c r="F231" s="313"/>
      <c r="G231" s="112"/>
      <c r="H231" s="313"/>
      <c r="I231" s="112"/>
      <c r="J231" s="314"/>
      <c r="K231" s="256"/>
      <c r="L231" s="227" t="s">
        <v>75</v>
      </c>
      <c r="M231" s="227"/>
      <c r="N231" s="227"/>
      <c r="O231" s="227"/>
      <c r="P231" s="268">
        <f>P229+P227</f>
        <v>1126.5202011259394</v>
      </c>
    </row>
    <row r="232" spans="1:17" ht="15.75">
      <c r="A232" s="313"/>
      <c r="B232" s="313"/>
      <c r="C232" s="326"/>
      <c r="D232" s="313"/>
      <c r="E232" s="317"/>
      <c r="F232" s="313"/>
      <c r="G232" s="112"/>
      <c r="H232" s="313"/>
      <c r="I232" s="112"/>
      <c r="J232" s="314"/>
      <c r="K232" s="256"/>
      <c r="L232" s="227"/>
      <c r="M232" s="227"/>
      <c r="N232" s="227"/>
      <c r="O232" s="227"/>
      <c r="P232" s="227"/>
    </row>
    <row r="233" spans="1:17" ht="15.75">
      <c r="A233" s="313"/>
      <c r="B233" s="313"/>
      <c r="C233" s="326"/>
      <c r="D233" s="313"/>
      <c r="E233" s="317"/>
      <c r="F233" s="313"/>
      <c r="G233" s="112"/>
      <c r="H233" s="313"/>
      <c r="I233" s="112"/>
      <c r="J233" s="314"/>
      <c r="K233" s="256"/>
      <c r="L233" s="227" t="s">
        <v>126</v>
      </c>
      <c r="M233" s="260">
        <v>0.11</v>
      </c>
      <c r="N233" s="227"/>
      <c r="O233" s="227"/>
      <c r="P233" s="227">
        <f>P231*11/100</f>
        <v>123.91722212385334</v>
      </c>
    </row>
    <row r="234" spans="1:17" ht="15.75">
      <c r="A234" s="313"/>
      <c r="B234" s="256"/>
      <c r="C234" s="256"/>
      <c r="D234" s="256"/>
      <c r="E234" s="256"/>
      <c r="F234" s="256"/>
      <c r="G234" s="256"/>
      <c r="H234" s="256"/>
      <c r="I234" s="256"/>
      <c r="J234" s="256"/>
      <c r="K234" s="256"/>
      <c r="L234" s="227"/>
      <c r="M234" s="227"/>
      <c r="N234" s="227"/>
      <c r="O234" s="227"/>
      <c r="P234" s="227"/>
    </row>
    <row r="235" spans="1:17" ht="15.75">
      <c r="A235" s="313"/>
      <c r="B235" s="313"/>
      <c r="C235" s="326"/>
      <c r="D235" s="313"/>
      <c r="E235" s="317"/>
      <c r="F235" s="313"/>
      <c r="G235" s="112"/>
      <c r="H235" s="313"/>
      <c r="I235" s="112"/>
      <c r="J235" s="314"/>
      <c r="K235" s="256"/>
      <c r="L235" s="257" t="s">
        <v>75</v>
      </c>
      <c r="M235" s="227"/>
      <c r="N235" s="227"/>
      <c r="O235" s="227"/>
      <c r="P235" s="257">
        <f>P233+P231</f>
        <v>1250.4374232497928</v>
      </c>
    </row>
    <row r="236" spans="1:17" ht="15.75">
      <c r="A236" s="313"/>
      <c r="B236" s="256"/>
      <c r="C236" s="256"/>
      <c r="D236" s="256"/>
      <c r="E236" s="256"/>
      <c r="F236" s="256"/>
      <c r="G236" s="256"/>
      <c r="H236" s="256"/>
      <c r="I236" s="256"/>
      <c r="J236" s="256"/>
      <c r="K236" s="256"/>
      <c r="L236" s="256"/>
      <c r="M236" s="256"/>
      <c r="N236" s="256"/>
      <c r="O236" s="256"/>
      <c r="P236" s="256"/>
    </row>
    <row r="237" spans="1:17">
      <c r="A237" s="313"/>
      <c r="B237" s="313"/>
      <c r="C237" s="314"/>
      <c r="D237" s="313"/>
      <c r="E237" s="316"/>
      <c r="F237" s="313"/>
      <c r="G237" s="338" t="s">
        <v>204</v>
      </c>
      <c r="H237" s="313"/>
      <c r="I237" s="112"/>
      <c r="J237" s="314"/>
      <c r="K237" s="313"/>
      <c r="L237" s="316"/>
      <c r="M237" s="316"/>
      <c r="N237" s="317"/>
      <c r="O237" s="337"/>
      <c r="P237" s="320"/>
    </row>
    <row r="238" spans="1:17" ht="15.75">
      <c r="A238" s="313"/>
      <c r="B238" s="256"/>
      <c r="C238" s="256"/>
      <c r="D238" s="256"/>
      <c r="E238" s="256"/>
      <c r="F238" s="256"/>
      <c r="G238" s="256"/>
      <c r="H238" s="256"/>
      <c r="I238" s="256"/>
      <c r="J238" s="256"/>
      <c r="K238" s="256"/>
      <c r="L238" s="256"/>
      <c r="M238" s="256"/>
      <c r="N238" s="256"/>
      <c r="O238" s="256"/>
      <c r="P238" s="256"/>
    </row>
    <row r="239" spans="1:17" ht="45">
      <c r="A239" s="313">
        <v>1</v>
      </c>
      <c r="B239" s="136" t="s">
        <v>218</v>
      </c>
      <c r="C239" s="137" t="s">
        <v>219</v>
      </c>
      <c r="D239" s="135" t="s">
        <v>287</v>
      </c>
      <c r="E239" s="339">
        <v>26.92</v>
      </c>
      <c r="F239" s="164">
        <v>2.9</v>
      </c>
      <c r="G239" s="112">
        <f>F239*2.1411</f>
        <v>6.2091899999999995</v>
      </c>
      <c r="H239" s="112">
        <v>0.95</v>
      </c>
      <c r="I239" s="112">
        <f>H239*2.85548</f>
        <v>2.7127059999999998</v>
      </c>
      <c r="J239" s="340" t="s">
        <v>94</v>
      </c>
      <c r="K239" s="135" t="s">
        <v>287</v>
      </c>
      <c r="L239" s="112">
        <v>0.18</v>
      </c>
      <c r="M239" s="112">
        <f>L239*E239</f>
        <v>4.8456000000000001</v>
      </c>
      <c r="N239" s="130">
        <v>26</v>
      </c>
      <c r="O239" s="352">
        <f>(N239*L239+L240*N240)*1.132047+G239+I239</f>
        <v>25.1865812725</v>
      </c>
      <c r="P239" s="362">
        <f>E239*O239</f>
        <v>678.02276785570007</v>
      </c>
    </row>
    <row r="240" spans="1:17" ht="30">
      <c r="A240" s="313"/>
      <c r="B240" s="136"/>
      <c r="C240" s="137"/>
      <c r="D240" s="278"/>
      <c r="E240" s="339"/>
      <c r="F240" s="164"/>
      <c r="G240" s="112"/>
      <c r="H240" s="112"/>
      <c r="I240" s="112"/>
      <c r="J240" s="340" t="s">
        <v>221</v>
      </c>
      <c r="K240" s="135" t="s">
        <v>95</v>
      </c>
      <c r="L240" s="112">
        <v>62.5</v>
      </c>
      <c r="M240" s="112">
        <f>L240*E239</f>
        <v>1682.5</v>
      </c>
      <c r="N240" s="130">
        <v>0.155</v>
      </c>
      <c r="O240" s="352"/>
      <c r="P240" s="362"/>
    </row>
    <row r="241" spans="1:16" ht="15.75">
      <c r="A241" s="313"/>
      <c r="B241" s="256"/>
      <c r="C241" s="256"/>
      <c r="D241" s="256"/>
      <c r="E241" s="256"/>
      <c r="F241" s="256"/>
      <c r="G241" s="112"/>
      <c r="H241" s="256"/>
      <c r="I241" s="112"/>
      <c r="J241" s="256"/>
      <c r="K241" s="256"/>
      <c r="L241" s="256"/>
      <c r="M241" s="256"/>
      <c r="N241" s="256"/>
      <c r="O241" s="256"/>
      <c r="P241" s="256"/>
    </row>
    <row r="242" spans="1:16" ht="45">
      <c r="A242" s="313">
        <v>2</v>
      </c>
      <c r="B242" s="136" t="s">
        <v>215</v>
      </c>
      <c r="C242" s="137" t="s">
        <v>216</v>
      </c>
      <c r="D242" s="135" t="s">
        <v>287</v>
      </c>
      <c r="E242" s="164">
        <v>14.34</v>
      </c>
      <c r="F242" s="164">
        <v>1.87</v>
      </c>
      <c r="G242" s="112">
        <f t="shared" ref="G242" si="23">F242*2.1411</f>
        <v>4.003857</v>
      </c>
      <c r="H242" s="164">
        <v>0.92</v>
      </c>
      <c r="I242" s="112">
        <f t="shared" ref="I242" si="24">H242*2.85548</f>
        <v>2.6270416000000001</v>
      </c>
      <c r="J242" s="137" t="s">
        <v>94</v>
      </c>
      <c r="K242" s="135" t="s">
        <v>287</v>
      </c>
      <c r="L242" s="239">
        <v>0.11</v>
      </c>
      <c r="M242" s="164">
        <f>L242*E242</f>
        <v>1.5773999999999999</v>
      </c>
      <c r="N242" s="112">
        <v>26</v>
      </c>
      <c r="O242" s="112">
        <f>(L242*N242+L243*N243)*1.132047+G242+I242</f>
        <v>26.283234520000001</v>
      </c>
      <c r="P242" s="138">
        <f>O242*E242</f>
        <v>376.90158301680003</v>
      </c>
    </row>
    <row r="243" spans="1:16" ht="30">
      <c r="A243" s="313"/>
      <c r="B243" s="271"/>
      <c r="C243" s="137"/>
      <c r="D243" s="135"/>
      <c r="E243" s="164"/>
      <c r="F243" s="164"/>
      <c r="G243" s="112"/>
      <c r="H243" s="164"/>
      <c r="I243" s="112"/>
      <c r="J243" s="290" t="s">
        <v>217</v>
      </c>
      <c r="K243" s="135" t="s">
        <v>29</v>
      </c>
      <c r="L243" s="239">
        <v>125</v>
      </c>
      <c r="M243" s="164">
        <f>L243*E242</f>
        <v>1792.5</v>
      </c>
      <c r="N243" s="112">
        <v>0.11600000000000001</v>
      </c>
      <c r="O243" s="112"/>
      <c r="P243" s="138"/>
    </row>
    <row r="244" spans="1:16">
      <c r="A244" s="313"/>
      <c r="B244" s="313"/>
      <c r="C244" s="326"/>
      <c r="D244" s="313"/>
      <c r="E244" s="317"/>
      <c r="F244" s="313"/>
      <c r="G244" s="112"/>
      <c r="H244" s="313"/>
      <c r="I244" s="112"/>
      <c r="J244" s="314"/>
      <c r="K244" s="313"/>
      <c r="L244" s="316"/>
      <c r="M244" s="317"/>
      <c r="N244" s="317"/>
      <c r="O244" s="317"/>
      <c r="P244" s="318"/>
    </row>
    <row r="245" spans="1:16" ht="45">
      <c r="A245" s="313">
        <v>3</v>
      </c>
      <c r="B245" s="136" t="s">
        <v>220</v>
      </c>
      <c r="C245" s="137" t="s">
        <v>223</v>
      </c>
      <c r="D245" s="135" t="s">
        <v>25</v>
      </c>
      <c r="E245" s="164">
        <v>0.115</v>
      </c>
      <c r="F245" s="164">
        <v>27.8</v>
      </c>
      <c r="G245" s="112">
        <f>F245*2.1411</f>
        <v>59.522579999999998</v>
      </c>
      <c r="H245" s="164">
        <v>1.38</v>
      </c>
      <c r="I245" s="112">
        <f>H245*2.85548</f>
        <v>3.9405623999999997</v>
      </c>
      <c r="J245" s="137" t="s">
        <v>291</v>
      </c>
      <c r="K245" s="135" t="s">
        <v>25</v>
      </c>
      <c r="L245" s="164">
        <v>1</v>
      </c>
      <c r="M245" s="164">
        <f>L245*E245</f>
        <v>0.115</v>
      </c>
      <c r="N245" s="130">
        <v>231</v>
      </c>
      <c r="O245" s="112">
        <f>N245*L245*1.132047+G245+I245</f>
        <v>324.96599939999999</v>
      </c>
      <c r="P245" s="130">
        <f>E245*O245</f>
        <v>37.371089931</v>
      </c>
    </row>
    <row r="246" spans="1:16" ht="15.75">
      <c r="A246" s="313"/>
      <c r="B246" s="256"/>
      <c r="C246" s="137"/>
      <c r="D246" s="256"/>
      <c r="E246" s="256"/>
      <c r="F246" s="256"/>
      <c r="G246" s="112"/>
      <c r="H246" s="256"/>
      <c r="I246" s="112"/>
      <c r="J246" s="256"/>
      <c r="K246" s="256"/>
      <c r="L246" s="256"/>
      <c r="M246" s="164"/>
      <c r="N246" s="256"/>
      <c r="O246" s="256"/>
      <c r="P246" s="256"/>
    </row>
    <row r="247" spans="1:16" ht="45">
      <c r="A247" s="313">
        <v>4</v>
      </c>
      <c r="B247" s="256" t="s">
        <v>227</v>
      </c>
      <c r="C247" s="137" t="s">
        <v>232</v>
      </c>
      <c r="D247" s="135" t="s">
        <v>80</v>
      </c>
      <c r="E247" s="341">
        <v>129.62</v>
      </c>
      <c r="F247" s="341">
        <v>0.876</v>
      </c>
      <c r="G247" s="112">
        <f t="shared" ref="G247:G251" si="25">F247*2.1411</f>
        <v>1.8756035999999998</v>
      </c>
      <c r="H247" s="341">
        <v>4.5999999999999999E-2</v>
      </c>
      <c r="I247" s="112">
        <f t="shared" ref="I247:I251" si="26">H247*2.85548</f>
        <v>0.13135208000000001</v>
      </c>
      <c r="J247" s="341" t="s">
        <v>231</v>
      </c>
      <c r="K247" s="135" t="s">
        <v>80</v>
      </c>
      <c r="L247" s="341">
        <v>1.05</v>
      </c>
      <c r="M247" s="164">
        <f t="shared" ref="M247:M251" si="27">L247*E247</f>
        <v>136.101</v>
      </c>
      <c r="N247" s="317">
        <v>1.8120000000000001</v>
      </c>
      <c r="O247" s="256"/>
      <c r="P247" s="256"/>
    </row>
    <row r="248" spans="1:16" ht="30">
      <c r="A248" s="313"/>
      <c r="B248" s="313"/>
      <c r="C248" s="137"/>
      <c r="D248" s="313"/>
      <c r="E248" s="317"/>
      <c r="F248" s="313"/>
      <c r="G248" s="112"/>
      <c r="H248" s="313"/>
      <c r="I248" s="112"/>
      <c r="J248" s="314" t="s">
        <v>228</v>
      </c>
      <c r="K248" s="313" t="s">
        <v>233</v>
      </c>
      <c r="L248" s="311">
        <v>2.7</v>
      </c>
      <c r="M248" s="164">
        <f>L248*E247</f>
        <v>349.97400000000005</v>
      </c>
      <c r="N248" s="311">
        <v>0.71699999999999997</v>
      </c>
      <c r="O248" s="256">
        <f>(N248*L248+N247*L247+N249*L249)*1.132047+G247+I247</f>
        <v>6.4089204394999992</v>
      </c>
      <c r="P248" s="256">
        <f>O248*E247</f>
        <v>830.72426736798991</v>
      </c>
    </row>
    <row r="249" spans="1:16" ht="15.75">
      <c r="A249" s="313"/>
      <c r="B249" s="313"/>
      <c r="C249" s="137"/>
      <c r="D249" s="313"/>
      <c r="E249" s="317"/>
      <c r="F249" s="313"/>
      <c r="G249" s="112"/>
      <c r="H249" s="313"/>
      <c r="I249" s="112"/>
      <c r="J249" s="314" t="s">
        <v>229</v>
      </c>
      <c r="K249" s="313" t="s">
        <v>234</v>
      </c>
      <c r="L249" s="311">
        <v>0.05</v>
      </c>
      <c r="M249" s="164">
        <f>L249*E247</f>
        <v>6.4810000000000008</v>
      </c>
      <c r="N249" s="311">
        <v>1</v>
      </c>
      <c r="O249" s="256"/>
      <c r="P249" s="256"/>
    </row>
    <row r="250" spans="1:16" ht="15.75">
      <c r="A250" s="313"/>
      <c r="B250" s="313"/>
      <c r="C250" s="137"/>
      <c r="D250" s="313"/>
      <c r="E250" s="317"/>
      <c r="F250" s="313"/>
      <c r="G250" s="112"/>
      <c r="H250" s="313"/>
      <c r="I250" s="112"/>
      <c r="J250" s="314"/>
      <c r="K250" s="313"/>
      <c r="L250" s="311"/>
      <c r="M250" s="164"/>
      <c r="N250" s="311"/>
      <c r="O250" s="256"/>
      <c r="P250" s="256"/>
    </row>
    <row r="251" spans="1:16" ht="30">
      <c r="A251" s="313">
        <v>5</v>
      </c>
      <c r="B251" s="313" t="s">
        <v>230</v>
      </c>
      <c r="C251" s="137" t="s">
        <v>236</v>
      </c>
      <c r="D251" s="313" t="s">
        <v>80</v>
      </c>
      <c r="E251" s="317">
        <v>31.58</v>
      </c>
      <c r="F251" s="313">
        <v>2.56</v>
      </c>
      <c r="G251" s="112">
        <f t="shared" si="25"/>
        <v>5.4812159999999999</v>
      </c>
      <c r="H251" s="313">
        <v>0.214</v>
      </c>
      <c r="I251" s="112">
        <f t="shared" si="26"/>
        <v>0.61107272000000001</v>
      </c>
      <c r="J251" s="314" t="s">
        <v>235</v>
      </c>
      <c r="K251" s="313" t="s">
        <v>80</v>
      </c>
      <c r="L251" s="341">
        <v>1.05</v>
      </c>
      <c r="M251" s="164">
        <f t="shared" si="27"/>
        <v>33.158999999999999</v>
      </c>
      <c r="N251" s="341">
        <v>3</v>
      </c>
      <c r="O251" s="342">
        <f>L251*N251+G251+I251</f>
        <v>9.2422887199999995</v>
      </c>
      <c r="P251" s="342">
        <f>O251*E251</f>
        <v>291.87147777759998</v>
      </c>
    </row>
    <row r="252" spans="1:16" ht="15.75">
      <c r="A252" s="313"/>
      <c r="B252" s="256"/>
      <c r="C252" s="256"/>
      <c r="D252" s="256"/>
      <c r="E252" s="256"/>
      <c r="F252" s="256"/>
      <c r="G252" s="256"/>
      <c r="H252" s="256"/>
      <c r="I252" s="256"/>
      <c r="J252" s="314"/>
      <c r="K252" s="313"/>
      <c r="L252" s="256"/>
      <c r="M252" s="256"/>
      <c r="N252" s="256"/>
      <c r="O252" s="256"/>
      <c r="P252" s="256"/>
    </row>
    <row r="253" spans="1:16" ht="15.75">
      <c r="A253" s="313"/>
      <c r="B253" s="256"/>
      <c r="C253" s="256"/>
      <c r="D253" s="256"/>
      <c r="E253" s="256"/>
      <c r="F253" s="256"/>
      <c r="G253" s="256"/>
      <c r="H253" s="256"/>
      <c r="I253" s="256"/>
      <c r="J253" s="314"/>
      <c r="K253" s="313"/>
      <c r="L253" s="256" t="s">
        <v>75</v>
      </c>
      <c r="M253" s="256"/>
      <c r="N253" s="256"/>
      <c r="O253" s="256"/>
      <c r="P253" s="284">
        <f>P251+P248+P245+P242+P239</f>
        <v>2214.89118594909</v>
      </c>
    </row>
    <row r="254" spans="1:16" ht="15.75">
      <c r="A254" s="313"/>
      <c r="B254" s="256"/>
      <c r="C254" s="256"/>
      <c r="D254" s="256"/>
      <c r="E254" s="256"/>
      <c r="F254" s="256"/>
      <c r="G254" s="256"/>
      <c r="H254" s="256"/>
      <c r="I254" s="256"/>
      <c r="J254" s="256"/>
      <c r="K254" s="256"/>
      <c r="L254" s="256"/>
      <c r="M254" s="256"/>
      <c r="N254" s="256"/>
      <c r="O254" s="256"/>
      <c r="P254" s="256"/>
    </row>
    <row r="255" spans="1:16" ht="15.75">
      <c r="A255" s="313"/>
      <c r="B255" s="313"/>
      <c r="C255" s="314"/>
      <c r="D255" s="313"/>
      <c r="E255" s="316"/>
      <c r="F255" s="313"/>
      <c r="G255" s="112"/>
      <c r="H255" s="313"/>
      <c r="I255" s="112"/>
      <c r="J255" s="314"/>
      <c r="K255" s="313"/>
      <c r="L255" s="227" t="s">
        <v>76</v>
      </c>
      <c r="M255" s="227"/>
      <c r="N255" s="227"/>
      <c r="O255" s="227"/>
      <c r="P255" s="227">
        <f>P253*13.3/100</f>
        <v>294.58052773122898</v>
      </c>
    </row>
    <row r="256" spans="1:16" ht="15.75">
      <c r="A256" s="313"/>
      <c r="B256" s="313"/>
      <c r="C256" s="314"/>
      <c r="D256" s="313"/>
      <c r="E256" s="316"/>
      <c r="F256" s="313"/>
      <c r="G256" s="112"/>
      <c r="H256" s="313"/>
      <c r="I256" s="112"/>
      <c r="J256" s="314"/>
      <c r="K256" s="313"/>
      <c r="L256" s="227"/>
      <c r="M256" s="227"/>
      <c r="N256" s="227"/>
      <c r="O256" s="227"/>
      <c r="P256" s="227"/>
    </row>
    <row r="257" spans="1:16" ht="15.75">
      <c r="A257" s="313"/>
      <c r="B257" s="313"/>
      <c r="C257" s="314"/>
      <c r="D257" s="313"/>
      <c r="E257" s="316"/>
      <c r="F257" s="313"/>
      <c r="G257" s="112"/>
      <c r="H257" s="313"/>
      <c r="I257" s="112"/>
      <c r="J257" s="314"/>
      <c r="K257" s="313"/>
      <c r="L257" s="227" t="s">
        <v>75</v>
      </c>
      <c r="M257" s="227"/>
      <c r="N257" s="227"/>
      <c r="O257" s="227"/>
      <c r="P257" s="268">
        <f>P255+P253</f>
        <v>2509.4717136803188</v>
      </c>
    </row>
    <row r="258" spans="1:16" ht="15.75">
      <c r="A258" s="313"/>
      <c r="B258" s="313"/>
      <c r="C258" s="314"/>
      <c r="D258" s="313"/>
      <c r="E258" s="316"/>
      <c r="F258" s="313"/>
      <c r="G258" s="112"/>
      <c r="H258" s="313"/>
      <c r="I258" s="112"/>
      <c r="J258" s="314"/>
      <c r="K258" s="313"/>
      <c r="L258" s="227"/>
      <c r="M258" s="227"/>
      <c r="N258" s="227"/>
      <c r="O258" s="227"/>
      <c r="P258" s="227"/>
    </row>
    <row r="259" spans="1:16" ht="15.75">
      <c r="A259" s="313"/>
      <c r="B259" s="313"/>
      <c r="C259" s="314"/>
      <c r="D259" s="313"/>
      <c r="E259" s="316"/>
      <c r="F259" s="313"/>
      <c r="G259" s="112"/>
      <c r="H259" s="313"/>
      <c r="I259" s="112"/>
      <c r="J259" s="314"/>
      <c r="K259" s="313"/>
      <c r="L259" s="227" t="s">
        <v>126</v>
      </c>
      <c r="M259" s="260">
        <v>0.11</v>
      </c>
      <c r="N259" s="227"/>
      <c r="O259" s="227"/>
      <c r="P259" s="227">
        <f>P257*11/100</f>
        <v>276.04188850483507</v>
      </c>
    </row>
    <row r="260" spans="1:16" ht="15.75">
      <c r="A260" s="313"/>
      <c r="B260" s="313"/>
      <c r="C260" s="314"/>
      <c r="D260" s="313"/>
      <c r="E260" s="316"/>
      <c r="F260" s="313"/>
      <c r="G260" s="112"/>
      <c r="H260" s="313"/>
      <c r="I260" s="112"/>
      <c r="J260" s="314"/>
      <c r="K260" s="313"/>
      <c r="L260" s="227"/>
      <c r="M260" s="227"/>
      <c r="N260" s="227"/>
      <c r="O260" s="227"/>
      <c r="P260" s="227"/>
    </row>
    <row r="261" spans="1:16" ht="15.75">
      <c r="A261" s="313"/>
      <c r="B261" s="313"/>
      <c r="C261" s="314"/>
      <c r="D261" s="313"/>
      <c r="E261" s="316"/>
      <c r="F261" s="313"/>
      <c r="G261" s="112"/>
      <c r="H261" s="313"/>
      <c r="I261" s="112"/>
      <c r="J261" s="314"/>
      <c r="K261" s="313"/>
      <c r="L261" s="257" t="s">
        <v>75</v>
      </c>
      <c r="M261" s="227"/>
      <c r="N261" s="227"/>
      <c r="O261" s="227"/>
      <c r="P261" s="257">
        <f>P259+P257</f>
        <v>2785.513602185154</v>
      </c>
    </row>
    <row r="262" spans="1:16" ht="15.75">
      <c r="A262" s="313"/>
      <c r="B262" s="313"/>
      <c r="C262" s="314"/>
      <c r="D262" s="313"/>
      <c r="E262" s="316"/>
      <c r="F262" s="313"/>
      <c r="G262" s="112"/>
      <c r="H262" s="313"/>
      <c r="I262" s="112"/>
      <c r="J262" s="314"/>
      <c r="K262" s="313"/>
      <c r="L262" s="257"/>
      <c r="M262" s="227"/>
      <c r="N262" s="227"/>
      <c r="O262" s="227"/>
      <c r="P262" s="257"/>
    </row>
    <row r="263" spans="1:16" ht="15.75">
      <c r="A263" s="313"/>
      <c r="B263" s="313"/>
      <c r="C263" s="314"/>
      <c r="D263" s="313"/>
      <c r="E263" s="316"/>
      <c r="F263" s="313"/>
      <c r="G263" s="112"/>
      <c r="H263" s="313"/>
      <c r="I263" s="112"/>
      <c r="J263" s="314"/>
      <c r="K263" s="313"/>
      <c r="L263" s="257"/>
      <c r="M263" s="227"/>
      <c r="N263" s="227"/>
      <c r="O263" s="227"/>
      <c r="P263" s="257"/>
    </row>
    <row r="264" spans="1:16" ht="15.75">
      <c r="A264" s="313"/>
      <c r="B264" s="313"/>
      <c r="C264" s="314"/>
      <c r="D264" s="313"/>
      <c r="E264" s="316"/>
      <c r="F264" s="313"/>
      <c r="G264" s="112"/>
      <c r="H264" s="313"/>
      <c r="I264" s="112"/>
      <c r="J264" s="314"/>
      <c r="K264" s="313"/>
      <c r="L264" s="257"/>
      <c r="M264" s="227"/>
      <c r="N264" s="227"/>
      <c r="O264" s="227"/>
      <c r="P264" s="257"/>
    </row>
    <row r="265" spans="1:16" ht="15.75">
      <c r="A265" s="313"/>
      <c r="B265" s="313"/>
      <c r="C265" s="314"/>
      <c r="D265" s="313"/>
      <c r="E265" s="316"/>
      <c r="F265" s="313"/>
      <c r="G265" s="112"/>
      <c r="H265" s="313"/>
      <c r="I265" s="112"/>
      <c r="J265" s="314"/>
      <c r="K265" s="313"/>
      <c r="L265" s="257"/>
      <c r="M265" s="227"/>
      <c r="N265" s="227"/>
      <c r="O265" s="227"/>
      <c r="P265" s="257"/>
    </row>
    <row r="266" spans="1:16" ht="15.75">
      <c r="A266" s="313"/>
      <c r="B266" s="313"/>
      <c r="C266" s="314"/>
      <c r="D266" s="313"/>
      <c r="E266" s="316"/>
      <c r="F266" s="313"/>
      <c r="G266" s="112"/>
      <c r="H266" s="313"/>
      <c r="I266" s="112"/>
      <c r="J266" s="314"/>
      <c r="K266" s="313"/>
      <c r="L266" s="257"/>
      <c r="M266" s="227"/>
      <c r="N266" s="227"/>
      <c r="O266" s="227"/>
      <c r="P266" s="257"/>
    </row>
    <row r="267" spans="1:16" ht="15.75">
      <c r="A267" s="313"/>
      <c r="B267" s="313"/>
      <c r="C267" s="314"/>
      <c r="D267" s="313"/>
      <c r="E267" s="316"/>
      <c r="F267" s="313"/>
      <c r="G267" s="112"/>
      <c r="H267" s="313"/>
      <c r="I267" s="112"/>
      <c r="J267" s="314"/>
      <c r="K267" s="313"/>
      <c r="L267" s="257"/>
      <c r="M267" s="227"/>
      <c r="N267" s="227"/>
      <c r="O267" s="227"/>
      <c r="P267" s="257"/>
    </row>
    <row r="268" spans="1:16" ht="15.75">
      <c r="A268" s="313"/>
      <c r="B268" s="313"/>
      <c r="C268" s="314"/>
      <c r="D268" s="313"/>
      <c r="E268" s="316"/>
      <c r="F268" s="313"/>
      <c r="G268" s="112"/>
      <c r="H268" s="313"/>
      <c r="I268" s="112"/>
      <c r="J268" s="314"/>
      <c r="K268" s="313"/>
      <c r="L268" s="257"/>
      <c r="M268" s="227"/>
      <c r="N268" s="227"/>
      <c r="O268" s="227"/>
      <c r="P268" s="257"/>
    </row>
    <row r="269" spans="1:16" ht="15.75">
      <c r="A269" s="313"/>
      <c r="B269" s="313"/>
      <c r="C269" s="314"/>
      <c r="D269" s="313"/>
      <c r="E269" s="316"/>
      <c r="F269" s="313"/>
      <c r="G269" s="112"/>
      <c r="H269" s="313"/>
      <c r="I269" s="112"/>
      <c r="J269" s="314"/>
      <c r="K269" s="313"/>
      <c r="L269" s="257"/>
      <c r="M269" s="227"/>
      <c r="N269" s="227"/>
      <c r="O269" s="227"/>
      <c r="P269" s="257"/>
    </row>
    <row r="270" spans="1:16" ht="15.75">
      <c r="A270" s="313"/>
      <c r="B270" s="313"/>
      <c r="C270" s="314"/>
      <c r="D270" s="313"/>
      <c r="E270" s="316"/>
      <c r="F270" s="313"/>
      <c r="G270" s="112"/>
      <c r="H270" s="313"/>
      <c r="I270" s="112"/>
      <c r="J270" s="314"/>
      <c r="K270" s="313"/>
      <c r="L270" s="257"/>
      <c r="M270" s="227"/>
      <c r="N270" s="227"/>
      <c r="O270" s="227"/>
      <c r="P270" s="257"/>
    </row>
    <row r="271" spans="1:16" ht="15.75">
      <c r="A271" s="313"/>
      <c r="B271" s="313"/>
      <c r="C271" s="314"/>
      <c r="D271" s="313"/>
      <c r="E271" s="316"/>
      <c r="F271" s="313"/>
      <c r="G271" s="112"/>
      <c r="H271" s="313"/>
      <c r="I271" s="112"/>
      <c r="J271" s="314"/>
      <c r="K271" s="313"/>
      <c r="L271" s="257"/>
      <c r="M271" s="227"/>
      <c r="N271" s="227"/>
      <c r="O271" s="227"/>
      <c r="P271" s="257"/>
    </row>
    <row r="272" spans="1:16" ht="15.75">
      <c r="A272" s="313"/>
      <c r="B272" s="313"/>
      <c r="C272" s="314"/>
      <c r="D272" s="313"/>
      <c r="E272" s="316"/>
      <c r="F272" s="313"/>
      <c r="G272" s="112"/>
      <c r="H272" s="313"/>
      <c r="I272" s="112"/>
      <c r="J272" s="314"/>
      <c r="K272" s="313"/>
      <c r="L272" s="257"/>
      <c r="M272" s="227"/>
      <c r="N272" s="227"/>
      <c r="O272" s="227"/>
      <c r="P272" s="257"/>
    </row>
    <row r="273" spans="1:16" ht="15.75">
      <c r="A273" s="313"/>
      <c r="B273" s="313"/>
      <c r="C273" s="314"/>
      <c r="D273" s="313"/>
      <c r="E273" s="316"/>
      <c r="F273" s="313"/>
      <c r="G273" s="112"/>
      <c r="H273" s="313"/>
      <c r="I273" s="112"/>
      <c r="J273" s="314"/>
      <c r="K273" s="313"/>
      <c r="L273" s="257"/>
      <c r="M273" s="227"/>
      <c r="N273" s="227"/>
      <c r="O273" s="227"/>
      <c r="P273" s="257"/>
    </row>
    <row r="274" spans="1:16" ht="15.75">
      <c r="A274" s="313"/>
      <c r="B274" s="313"/>
      <c r="C274" s="314"/>
      <c r="D274" s="313"/>
      <c r="E274" s="316"/>
      <c r="F274" s="313"/>
      <c r="G274" s="112"/>
      <c r="H274" s="313"/>
      <c r="I274" s="112"/>
      <c r="J274" s="314"/>
      <c r="K274" s="313"/>
      <c r="L274" s="257"/>
      <c r="M274" s="227"/>
      <c r="N274" s="227"/>
      <c r="O274" s="227"/>
      <c r="P274" s="257"/>
    </row>
    <row r="275" spans="1:16" ht="15.75">
      <c r="A275" s="313"/>
      <c r="B275" s="313"/>
      <c r="C275" s="314"/>
      <c r="D275" s="313"/>
      <c r="E275" s="316"/>
      <c r="F275" s="313"/>
      <c r="G275" s="112"/>
      <c r="H275" s="313"/>
      <c r="I275" s="112"/>
      <c r="J275" s="314"/>
      <c r="K275" s="313"/>
      <c r="L275" s="257"/>
      <c r="M275" s="227"/>
      <c r="N275" s="227"/>
      <c r="O275" s="227"/>
      <c r="P275" s="257"/>
    </row>
    <row r="276" spans="1:16" ht="15.75">
      <c r="A276" s="313"/>
      <c r="B276" s="313"/>
      <c r="C276" s="314"/>
      <c r="D276" s="313"/>
      <c r="E276" s="316"/>
      <c r="F276" s="313"/>
      <c r="G276" s="112"/>
      <c r="H276" s="313"/>
      <c r="I276" s="112"/>
      <c r="J276" s="314"/>
      <c r="K276" s="313"/>
      <c r="L276" s="257"/>
      <c r="M276" s="227"/>
      <c r="N276" s="227"/>
      <c r="O276" s="227"/>
      <c r="P276" s="257"/>
    </row>
    <row r="277" spans="1:16" ht="15.75">
      <c r="A277" s="313"/>
      <c r="B277" s="313"/>
      <c r="C277" s="314"/>
      <c r="D277" s="313"/>
      <c r="E277" s="316"/>
      <c r="F277" s="313"/>
      <c r="G277" s="112"/>
      <c r="H277" s="313"/>
      <c r="I277" s="112"/>
      <c r="J277" s="314"/>
      <c r="K277" s="313"/>
      <c r="L277" s="257"/>
      <c r="M277" s="227"/>
      <c r="N277" s="227"/>
      <c r="O277" s="227"/>
      <c r="P277" s="257"/>
    </row>
    <row r="278" spans="1:16" ht="15.75">
      <c r="A278" s="313"/>
      <c r="B278" s="313"/>
      <c r="C278" s="314"/>
      <c r="D278" s="313"/>
      <c r="E278" s="316"/>
      <c r="F278" s="313"/>
      <c r="G278" s="112"/>
      <c r="H278" s="313"/>
      <c r="I278" s="112"/>
      <c r="J278" s="314"/>
      <c r="K278" s="313"/>
      <c r="L278" s="257"/>
      <c r="M278" s="227"/>
      <c r="N278" s="227"/>
      <c r="O278" s="227"/>
      <c r="P278" s="257"/>
    </row>
    <row r="279" spans="1:16" ht="15.75">
      <c r="A279" s="313"/>
      <c r="B279" s="313"/>
      <c r="C279" s="314"/>
      <c r="D279" s="313"/>
      <c r="E279" s="316"/>
      <c r="F279" s="313"/>
      <c r="G279" s="112"/>
      <c r="H279" s="313"/>
      <c r="I279" s="112"/>
      <c r="J279" s="314"/>
      <c r="K279" s="313"/>
      <c r="L279" s="257"/>
      <c r="M279" s="227"/>
      <c r="N279" s="227"/>
      <c r="O279" s="227"/>
      <c r="P279" s="257"/>
    </row>
    <row r="280" spans="1:16" ht="15.75">
      <c r="A280" s="313"/>
      <c r="B280" s="313"/>
      <c r="C280" s="314"/>
      <c r="D280" s="313"/>
      <c r="E280" s="316"/>
      <c r="F280" s="313"/>
      <c r="G280" s="112"/>
      <c r="H280" s="313"/>
      <c r="I280" s="112"/>
      <c r="J280" s="314"/>
      <c r="K280" s="313"/>
      <c r="L280" s="257"/>
      <c r="M280" s="227"/>
      <c r="N280" s="227"/>
      <c r="O280" s="227"/>
      <c r="P280" s="257"/>
    </row>
    <row r="281" spans="1:16" ht="15.75">
      <c r="A281" s="313"/>
      <c r="B281" s="313"/>
      <c r="C281" s="314"/>
      <c r="D281" s="313"/>
      <c r="E281" s="316"/>
      <c r="F281" s="313"/>
      <c r="G281" s="112"/>
      <c r="H281" s="313"/>
      <c r="I281" s="112"/>
      <c r="J281" s="314"/>
      <c r="K281" s="313"/>
      <c r="L281" s="257"/>
      <c r="M281" s="227"/>
      <c r="N281" s="227"/>
      <c r="O281" s="227"/>
      <c r="P281" s="257"/>
    </row>
    <row r="282" spans="1:16" ht="15.75">
      <c r="A282" s="313"/>
      <c r="B282" s="313"/>
      <c r="C282" s="314"/>
      <c r="D282" s="313"/>
      <c r="E282" s="316"/>
      <c r="F282" s="313"/>
      <c r="G282" s="112"/>
      <c r="H282" s="313"/>
      <c r="I282" s="112"/>
      <c r="J282" s="314"/>
      <c r="K282" s="313"/>
      <c r="L282" s="257"/>
      <c r="M282" s="227"/>
      <c r="N282" s="227"/>
      <c r="O282" s="227"/>
      <c r="P282" s="257"/>
    </row>
    <row r="283" spans="1:16" ht="15.75">
      <c r="A283" s="313"/>
      <c r="B283" s="313"/>
      <c r="C283" s="314"/>
      <c r="D283" s="313"/>
      <c r="E283" s="316"/>
      <c r="F283" s="313"/>
      <c r="G283" s="112"/>
      <c r="H283" s="313"/>
      <c r="I283" s="112"/>
      <c r="J283" s="314"/>
      <c r="K283" s="313"/>
      <c r="L283" s="257"/>
      <c r="M283" s="227"/>
      <c r="N283" s="227"/>
      <c r="O283" s="227"/>
      <c r="P283" s="257"/>
    </row>
    <row r="284" spans="1:16" ht="15.75">
      <c r="A284" s="313"/>
      <c r="B284" s="313"/>
      <c r="C284" s="314"/>
      <c r="D284" s="313"/>
      <c r="E284" s="316"/>
      <c r="F284" s="313"/>
      <c r="G284" s="112"/>
      <c r="H284" s="313"/>
      <c r="I284" s="112"/>
      <c r="J284" s="314"/>
      <c r="K284" s="313"/>
      <c r="L284" s="257"/>
      <c r="M284" s="227"/>
      <c r="N284" s="227"/>
      <c r="O284" s="227"/>
      <c r="P284" s="257"/>
    </row>
    <row r="285" spans="1:16" ht="15.75">
      <c r="A285" s="313"/>
      <c r="B285" s="313"/>
      <c r="C285" s="314"/>
      <c r="D285" s="313"/>
      <c r="E285" s="316"/>
      <c r="F285" s="313"/>
      <c r="G285" s="112"/>
      <c r="H285" s="313"/>
      <c r="I285" s="112"/>
      <c r="J285" s="314"/>
      <c r="K285" s="313"/>
      <c r="L285" s="257"/>
      <c r="M285" s="227"/>
      <c r="N285" s="227"/>
      <c r="O285" s="227"/>
      <c r="P285" s="257"/>
    </row>
    <row r="286" spans="1:16" ht="15.75">
      <c r="A286" s="313"/>
      <c r="B286" s="313"/>
      <c r="C286" s="314"/>
      <c r="D286" s="313"/>
      <c r="E286" s="316"/>
      <c r="F286" s="313"/>
      <c r="G286" s="112"/>
      <c r="H286" s="313"/>
      <c r="I286" s="112"/>
      <c r="J286" s="314"/>
      <c r="K286" s="313"/>
      <c r="L286" s="257"/>
      <c r="M286" s="227"/>
      <c r="N286" s="227"/>
      <c r="O286" s="227"/>
      <c r="P286" s="257"/>
    </row>
    <row r="287" spans="1:16" ht="15.75">
      <c r="A287" s="313"/>
      <c r="B287" s="313"/>
      <c r="C287" s="314"/>
      <c r="D287" s="313"/>
      <c r="E287" s="316"/>
      <c r="F287" s="313"/>
      <c r="G287" s="112"/>
      <c r="H287" s="313"/>
      <c r="I287" s="112"/>
      <c r="J287" s="314"/>
      <c r="K287" s="313"/>
      <c r="L287" s="257"/>
      <c r="M287" s="227"/>
      <c r="N287" s="227"/>
      <c r="O287" s="227"/>
      <c r="P287" s="257"/>
    </row>
    <row r="288" spans="1:16" ht="15.75">
      <c r="A288" s="313"/>
      <c r="B288" s="313"/>
      <c r="C288" s="314"/>
      <c r="D288" s="313"/>
      <c r="E288" s="316"/>
      <c r="F288" s="313"/>
      <c r="G288" s="112"/>
      <c r="H288" s="313"/>
      <c r="I288" s="112"/>
      <c r="J288" s="314"/>
      <c r="K288" s="313"/>
      <c r="L288" s="257"/>
      <c r="M288" s="227"/>
      <c r="N288" s="227"/>
      <c r="O288" s="227"/>
      <c r="P288" s="257"/>
    </row>
    <row r="289" spans="1:16">
      <c r="A289" s="95"/>
      <c r="B289" s="95"/>
      <c r="C289" s="99"/>
      <c r="D289" s="95"/>
      <c r="E289" s="97"/>
      <c r="F289" s="95"/>
      <c r="G289" s="110"/>
      <c r="H289" s="95"/>
      <c r="I289" s="110"/>
      <c r="J289" s="96"/>
      <c r="K289" s="95"/>
      <c r="L289" s="86"/>
      <c r="M289" s="82"/>
      <c r="N289" s="82"/>
      <c r="O289" s="82"/>
      <c r="P289" s="93"/>
    </row>
    <row r="290" spans="1:16">
      <c r="A290" s="95"/>
    </row>
    <row r="291" spans="1:16">
      <c r="A291" s="95"/>
      <c r="B291" s="95"/>
      <c r="C291" s="105"/>
      <c r="D291" s="95"/>
      <c r="E291" s="97"/>
      <c r="F291" s="95"/>
      <c r="G291" s="91"/>
      <c r="H291" s="95"/>
      <c r="I291" s="91"/>
      <c r="J291" s="96"/>
      <c r="K291" s="7"/>
    </row>
    <row r="292" spans="1:16">
      <c r="A292" s="101"/>
      <c r="B292" s="101"/>
      <c r="C292" s="104"/>
      <c r="D292" s="101"/>
      <c r="E292" s="103"/>
      <c r="F292" s="101"/>
      <c r="G292" s="91"/>
      <c r="H292" s="101"/>
      <c r="I292" s="91"/>
      <c r="J292" s="102"/>
      <c r="K292" s="101"/>
    </row>
    <row r="293" spans="1:16">
      <c r="A293" s="101"/>
      <c r="B293" s="101"/>
      <c r="C293" s="104"/>
      <c r="D293" s="101"/>
      <c r="E293" s="103"/>
      <c r="F293" s="101"/>
      <c r="G293" s="91"/>
      <c r="H293" s="101"/>
      <c r="I293" s="91"/>
      <c r="J293" s="102"/>
      <c r="K293" s="101"/>
    </row>
    <row r="294" spans="1:16">
      <c r="A294" s="95"/>
      <c r="B294" s="95"/>
      <c r="C294" s="106"/>
      <c r="D294" s="95"/>
      <c r="E294" s="107"/>
      <c r="F294" s="97"/>
      <c r="G294" s="91"/>
      <c r="H294" s="97"/>
      <c r="I294" s="91"/>
      <c r="J294" s="96"/>
      <c r="K294" s="95"/>
      <c r="L294" s="97"/>
      <c r="M294" s="98"/>
      <c r="N294" s="98"/>
      <c r="O294" s="108"/>
      <c r="P294" s="100"/>
    </row>
    <row r="295" spans="1:16">
      <c r="A295" s="95"/>
      <c r="B295" s="95"/>
      <c r="C295" s="106"/>
      <c r="D295" s="95"/>
      <c r="E295" s="107"/>
      <c r="F295" s="97"/>
      <c r="G295" s="112"/>
      <c r="H295" s="97"/>
      <c r="I295" s="91"/>
      <c r="J295" s="96"/>
      <c r="K295" s="95"/>
      <c r="L295" s="97"/>
      <c r="M295" s="98"/>
      <c r="N295" s="98"/>
      <c r="O295" s="108"/>
      <c r="P295" s="100"/>
    </row>
    <row r="296" spans="1:16">
      <c r="A296" s="95"/>
      <c r="B296" s="95"/>
      <c r="C296" s="106"/>
      <c r="D296" s="95"/>
      <c r="E296" s="107"/>
      <c r="F296" s="97"/>
      <c r="G296" s="112"/>
      <c r="H296" s="97"/>
      <c r="I296" s="110"/>
      <c r="J296" s="96"/>
      <c r="K296" s="95"/>
      <c r="L296" s="97"/>
      <c r="M296" s="98"/>
      <c r="N296" s="98"/>
      <c r="O296" s="108"/>
      <c r="P296" s="100"/>
    </row>
    <row r="297" spans="1:16">
      <c r="A297" s="95"/>
      <c r="B297" s="95"/>
      <c r="C297" s="106"/>
      <c r="D297" s="95"/>
      <c r="E297" s="107"/>
      <c r="F297" s="97"/>
      <c r="G297" s="91"/>
      <c r="H297" s="97"/>
      <c r="I297" s="91"/>
      <c r="J297" s="96"/>
      <c r="K297" s="95"/>
      <c r="L297" s="97"/>
      <c r="M297" s="98"/>
      <c r="N297" s="98"/>
      <c r="O297" s="108"/>
      <c r="P297" s="100"/>
    </row>
    <row r="298" spans="1:16">
      <c r="A298" s="95"/>
      <c r="B298" s="95"/>
      <c r="C298" s="99"/>
      <c r="D298" s="95"/>
      <c r="E298" s="103"/>
      <c r="F298" s="95"/>
      <c r="G298" s="94"/>
      <c r="H298" s="95"/>
      <c r="I298" s="94"/>
      <c r="P298"/>
    </row>
    <row r="300" spans="1:16" ht="22.5">
      <c r="A300" s="68"/>
      <c r="B300" s="67"/>
      <c r="C300" s="69"/>
      <c r="D300" s="113"/>
      <c r="E300" s="114" t="s">
        <v>237</v>
      </c>
      <c r="F300" s="115"/>
      <c r="G300" s="116"/>
      <c r="H300" s="117"/>
    </row>
    <row r="301" spans="1:16" ht="15.75">
      <c r="A301" s="135"/>
      <c r="B301" s="136"/>
      <c r="C301" s="125" t="s">
        <v>275</v>
      </c>
      <c r="D301" s="126"/>
      <c r="E301" s="127"/>
      <c r="F301" s="123"/>
      <c r="G301" s="128"/>
      <c r="H301" s="125"/>
    </row>
    <row r="302" spans="1:16" ht="15.75">
      <c r="A302" s="135"/>
      <c r="B302" s="136"/>
      <c r="C302" s="137"/>
      <c r="D302" s="139"/>
      <c r="E302" s="139"/>
      <c r="F302" s="139"/>
      <c r="G302" s="127"/>
      <c r="H302" s="175"/>
    </row>
    <row r="303" spans="1:16">
      <c r="A303" s="372" t="s">
        <v>2</v>
      </c>
      <c r="B303" s="374" t="s">
        <v>238</v>
      </c>
      <c r="C303" s="376" t="s">
        <v>239</v>
      </c>
      <c r="D303" s="378" t="s">
        <v>240</v>
      </c>
      <c r="E303" s="379"/>
      <c r="F303" s="379"/>
      <c r="G303" s="380"/>
      <c r="H303" s="381" t="s">
        <v>241</v>
      </c>
    </row>
    <row r="304" spans="1:16" ht="60">
      <c r="A304" s="373"/>
      <c r="B304" s="375"/>
      <c r="C304" s="377"/>
      <c r="D304" s="176" t="s">
        <v>242</v>
      </c>
      <c r="E304" s="176" t="s">
        <v>243</v>
      </c>
      <c r="F304" s="177" t="s">
        <v>244</v>
      </c>
      <c r="G304" s="178" t="s">
        <v>245</v>
      </c>
      <c r="H304" s="381"/>
    </row>
    <row r="305" spans="1:8">
      <c r="A305" s="146">
        <v>1</v>
      </c>
      <c r="B305" s="147">
        <v>2</v>
      </c>
      <c r="C305" s="147">
        <v>3</v>
      </c>
      <c r="D305" s="147">
        <v>4</v>
      </c>
      <c r="E305" s="147">
        <v>5</v>
      </c>
      <c r="F305" s="147">
        <v>6</v>
      </c>
      <c r="G305" s="147">
        <v>7</v>
      </c>
      <c r="H305" s="147">
        <v>8</v>
      </c>
    </row>
    <row r="306" spans="1:8" ht="15.75">
      <c r="A306" s="179"/>
      <c r="B306" s="180"/>
      <c r="C306" s="137"/>
      <c r="D306" s="181"/>
      <c r="E306" s="181"/>
      <c r="F306" s="181"/>
      <c r="G306" s="182"/>
      <c r="H306" s="183"/>
    </row>
    <row r="307" spans="1:8" ht="15.75">
      <c r="A307" s="184">
        <v>1</v>
      </c>
      <c r="B307" s="185"/>
      <c r="C307" s="186" t="s">
        <v>248</v>
      </c>
      <c r="D307" s="169">
        <v>5602.3860000000004</v>
      </c>
      <c r="E307" s="169"/>
      <c r="F307" s="169"/>
      <c r="G307" s="187"/>
      <c r="H307" s="188">
        <f>SUM(D307:G307)</f>
        <v>5602.3860000000004</v>
      </c>
    </row>
    <row r="308" spans="1:8" ht="15.75">
      <c r="A308" s="184"/>
      <c r="B308" s="185"/>
      <c r="C308" s="186"/>
      <c r="D308" s="169"/>
      <c r="E308" s="169"/>
      <c r="F308" s="169"/>
      <c r="G308" s="187"/>
      <c r="H308" s="188"/>
    </row>
    <row r="309" spans="1:8" ht="30">
      <c r="A309" s="184">
        <v>2</v>
      </c>
      <c r="B309" s="185"/>
      <c r="C309" s="186" t="s">
        <v>249</v>
      </c>
      <c r="D309" s="169">
        <v>9064.9560000000001</v>
      </c>
      <c r="E309" s="169"/>
      <c r="F309" s="169"/>
      <c r="G309" s="187"/>
      <c r="H309" s="188">
        <f>SUM(D309:G309)</f>
        <v>9064.9560000000001</v>
      </c>
    </row>
    <row r="310" spans="1:8" ht="15.75">
      <c r="A310" s="184"/>
      <c r="B310" s="185"/>
      <c r="C310" s="186"/>
      <c r="D310" s="169"/>
      <c r="E310" s="169"/>
      <c r="F310" s="169"/>
      <c r="G310" s="187"/>
      <c r="H310" s="188"/>
    </row>
    <row r="311" spans="1:8" ht="15.75">
      <c r="A311" s="184">
        <v>3</v>
      </c>
      <c r="B311" s="185"/>
      <c r="C311" s="186" t="s">
        <v>250</v>
      </c>
      <c r="D311" s="169">
        <v>7402.84</v>
      </c>
      <c r="E311" s="169"/>
      <c r="F311" s="169"/>
      <c r="G311" s="187"/>
      <c r="H311" s="188">
        <f>SUM(D311:G311)</f>
        <v>7402.84</v>
      </c>
    </row>
    <row r="312" spans="1:8" ht="15.75">
      <c r="A312" s="184"/>
      <c r="B312" s="185"/>
      <c r="C312" s="186"/>
      <c r="D312" s="169"/>
      <c r="E312" s="169"/>
      <c r="F312" s="169"/>
      <c r="G312" s="187"/>
      <c r="H312" s="188"/>
    </row>
    <row r="313" spans="1:8" ht="15.75">
      <c r="A313" s="184">
        <v>4</v>
      </c>
      <c r="B313" s="185"/>
      <c r="C313" s="186" t="s">
        <v>251</v>
      </c>
      <c r="D313" s="169">
        <v>1176.6500000000001</v>
      </c>
      <c r="E313" s="169"/>
      <c r="F313" s="169"/>
      <c r="G313" s="187"/>
      <c r="H313" s="188">
        <f>SUM(D313:G313)</f>
        <v>1176.6500000000001</v>
      </c>
    </row>
    <row r="314" spans="1:8" ht="15.75">
      <c r="A314" s="184"/>
      <c r="B314" s="185"/>
      <c r="C314" s="186"/>
      <c r="D314" s="169"/>
      <c r="E314" s="169"/>
      <c r="F314" s="169"/>
      <c r="G314" s="187"/>
      <c r="H314" s="188"/>
    </row>
    <row r="315" spans="1:8" ht="15.75">
      <c r="A315" s="184">
        <v>5</v>
      </c>
      <c r="B315" s="185"/>
      <c r="C315" s="186" t="s">
        <v>252</v>
      </c>
      <c r="D315" s="169">
        <v>2785.51</v>
      </c>
      <c r="E315" s="169"/>
      <c r="F315" s="169"/>
      <c r="G315" s="187"/>
      <c r="H315" s="188">
        <f>SUM(D315:G315)</f>
        <v>2785.51</v>
      </c>
    </row>
    <row r="316" spans="1:8" ht="15.75">
      <c r="A316" s="184"/>
      <c r="B316" s="185"/>
      <c r="C316" s="186"/>
      <c r="D316" s="165"/>
      <c r="E316" s="169"/>
      <c r="F316" s="169"/>
      <c r="G316" s="187"/>
      <c r="H316" s="188"/>
    </row>
    <row r="317" spans="1:8" ht="15.75">
      <c r="A317" s="184">
        <v>6</v>
      </c>
      <c r="B317" s="185"/>
      <c r="C317" s="186" t="s">
        <v>253</v>
      </c>
      <c r="D317" s="165">
        <v>1250.44</v>
      </c>
      <c r="E317" s="169"/>
      <c r="F317" s="169"/>
      <c r="G317" s="187"/>
      <c r="H317" s="188">
        <f>SUM(D317:G317)</f>
        <v>1250.44</v>
      </c>
    </row>
    <row r="318" spans="1:8" ht="15.75">
      <c r="A318" s="184"/>
      <c r="B318" s="185"/>
      <c r="C318" s="186"/>
      <c r="D318" s="169"/>
      <c r="E318" s="169"/>
      <c r="F318" s="169"/>
      <c r="G318" s="187"/>
      <c r="H318" s="188"/>
    </row>
    <row r="319" spans="1:8" ht="15.75">
      <c r="A319" s="184">
        <v>7</v>
      </c>
      <c r="B319" s="185"/>
      <c r="C319" s="137" t="s">
        <v>246</v>
      </c>
      <c r="D319" s="189"/>
      <c r="E319" s="138">
        <v>764.48800000000006</v>
      </c>
      <c r="F319" s="138"/>
      <c r="G319" s="150"/>
      <c r="H319" s="188">
        <f>SUM(E319:G319)</f>
        <v>764.48800000000006</v>
      </c>
    </row>
    <row r="320" spans="1:8" ht="15.75">
      <c r="A320" s="184"/>
      <c r="B320" s="185"/>
      <c r="C320" s="186"/>
      <c r="D320" s="169"/>
      <c r="E320" s="169"/>
      <c r="F320" s="169"/>
      <c r="G320" s="187"/>
      <c r="H320" s="188"/>
    </row>
    <row r="321" spans="1:8">
      <c r="A321" s="184"/>
      <c r="B321" s="136"/>
      <c r="C321" s="190" t="s">
        <v>247</v>
      </c>
      <c r="D321" s="191">
        <f>D317+D315+D313+D311+D309+D307</f>
        <v>27282.781999999999</v>
      </c>
      <c r="E321" s="191">
        <f>SUM(E319:E320)</f>
        <v>764.48800000000006</v>
      </c>
      <c r="F321" s="191"/>
      <c r="G321" s="191"/>
      <c r="H321" s="191">
        <f>H319+H317+H315+H313+H311+H309+H307</f>
        <v>28047.269999999997</v>
      </c>
    </row>
    <row r="322" spans="1:8" ht="15.75">
      <c r="A322" s="192"/>
      <c r="B322" s="193"/>
      <c r="C322" s="194"/>
      <c r="D322" s="195"/>
      <c r="E322" s="196"/>
      <c r="F322" s="196"/>
      <c r="G322" s="197"/>
      <c r="H322" s="198"/>
    </row>
    <row r="346" spans="1:8" ht="19.5">
      <c r="A346" s="68"/>
      <c r="B346" s="67"/>
      <c r="C346" s="69"/>
      <c r="D346" s="119" t="s">
        <v>254</v>
      </c>
      <c r="E346" s="118"/>
      <c r="F346" s="120"/>
      <c r="G346" s="121"/>
      <c r="H346" s="122"/>
    </row>
    <row r="347" spans="1:8" ht="15.75">
      <c r="A347" s="123"/>
      <c r="B347" s="124"/>
      <c r="C347" s="125" t="s">
        <v>275</v>
      </c>
      <c r="D347" s="126"/>
      <c r="E347" s="127"/>
      <c r="F347" s="123"/>
      <c r="G347" s="128"/>
      <c r="H347" s="125"/>
    </row>
    <row r="348" spans="1:8">
      <c r="A348" s="68"/>
      <c r="B348" s="67"/>
      <c r="C348" s="69"/>
      <c r="D348" s="129"/>
      <c r="E348" s="118"/>
      <c r="F348" s="130"/>
      <c r="G348" s="121"/>
      <c r="H348" s="122"/>
    </row>
    <row r="349" spans="1:8">
      <c r="A349" s="68"/>
      <c r="B349" s="67"/>
      <c r="C349" s="69"/>
      <c r="D349" s="138"/>
      <c r="E349" s="139" t="s">
        <v>255</v>
      </c>
      <c r="F349" s="174">
        <v>36424.843000000001</v>
      </c>
      <c r="G349" s="382" t="s">
        <v>1</v>
      </c>
      <c r="H349" s="382"/>
    </row>
    <row r="350" spans="1:8" ht="15.75">
      <c r="A350" s="135"/>
      <c r="B350" s="136"/>
      <c r="C350" s="137"/>
      <c r="D350" s="138"/>
      <c r="E350" s="139"/>
      <c r="F350" s="130"/>
      <c r="G350" s="127"/>
      <c r="H350" s="140"/>
    </row>
    <row r="351" spans="1:8">
      <c r="A351" s="372" t="s">
        <v>2</v>
      </c>
      <c r="B351" s="374" t="s">
        <v>256</v>
      </c>
      <c r="C351" s="374" t="s">
        <v>239</v>
      </c>
      <c r="D351" s="383" t="s">
        <v>257</v>
      </c>
      <c r="E351" s="384"/>
      <c r="F351" s="384"/>
      <c r="G351" s="384"/>
      <c r="H351" s="385"/>
    </row>
    <row r="352" spans="1:8" ht="60">
      <c r="A352" s="373"/>
      <c r="B352" s="375"/>
      <c r="C352" s="375"/>
      <c r="D352" s="141" t="s">
        <v>242</v>
      </c>
      <c r="E352" s="142" t="s">
        <v>243</v>
      </c>
      <c r="F352" s="143" t="s">
        <v>258</v>
      </c>
      <c r="G352" s="144" t="s">
        <v>245</v>
      </c>
      <c r="H352" s="145" t="s">
        <v>241</v>
      </c>
    </row>
    <row r="353" spans="1:8">
      <c r="A353" s="146">
        <v>1</v>
      </c>
      <c r="B353" s="147">
        <v>2</v>
      </c>
      <c r="C353" s="147">
        <v>3</v>
      </c>
      <c r="D353" s="147">
        <v>4</v>
      </c>
      <c r="E353" s="147">
        <v>5</v>
      </c>
      <c r="F353" s="147">
        <v>6</v>
      </c>
      <c r="G353" s="147">
        <v>7</v>
      </c>
      <c r="H353" s="147">
        <v>8</v>
      </c>
    </row>
    <row r="354" spans="1:8" ht="15.75">
      <c r="A354" s="135"/>
      <c r="B354" s="136"/>
      <c r="C354" s="137"/>
      <c r="D354" s="138"/>
      <c r="E354" s="139"/>
      <c r="F354" s="130"/>
      <c r="G354" s="148"/>
      <c r="H354" s="140"/>
    </row>
    <row r="355" spans="1:8" ht="15.75">
      <c r="A355" s="135"/>
      <c r="B355" s="136"/>
      <c r="C355" s="387" t="s">
        <v>281</v>
      </c>
      <c r="D355" s="387"/>
      <c r="E355" s="139"/>
      <c r="F355" s="130"/>
      <c r="G355" s="148"/>
      <c r="H355" s="140"/>
    </row>
    <row r="356" spans="1:8" ht="10.5" customHeight="1">
      <c r="A356" s="135"/>
      <c r="B356" s="136"/>
      <c r="C356" s="137"/>
      <c r="D356" s="138"/>
      <c r="E356" s="139"/>
      <c r="F356" s="130"/>
      <c r="G356" s="148"/>
      <c r="H356" s="140"/>
    </row>
    <row r="357" spans="1:8" ht="45">
      <c r="A357" s="135">
        <v>1</v>
      </c>
      <c r="B357" s="136" t="s">
        <v>276</v>
      </c>
      <c r="C357" s="149" t="s">
        <v>277</v>
      </c>
      <c r="D357" s="138">
        <v>27282.781999999999</v>
      </c>
      <c r="E357" s="138">
        <v>764.48800000000006</v>
      </c>
      <c r="F357" s="112"/>
      <c r="G357" s="150"/>
      <c r="H357" s="150">
        <f>E357+D357</f>
        <v>28047.27</v>
      </c>
    </row>
    <row r="358" spans="1:8" ht="11.25" customHeight="1" thickBot="1">
      <c r="A358" s="135"/>
      <c r="B358" s="136"/>
      <c r="C358" s="151"/>
      <c r="D358" s="152"/>
      <c r="E358" s="152"/>
      <c r="F358" s="153"/>
      <c r="G358" s="154"/>
      <c r="H358" s="155"/>
    </row>
    <row r="359" spans="1:8">
      <c r="A359" s="135"/>
      <c r="B359" s="136"/>
      <c r="C359" s="156" t="s">
        <v>259</v>
      </c>
      <c r="D359" s="138">
        <f>SUM(D357:D357)</f>
        <v>27282.781999999999</v>
      </c>
      <c r="E359" s="138">
        <f>SUM(E357:E357)</f>
        <v>764.48800000000006</v>
      </c>
      <c r="F359" s="138"/>
      <c r="G359" s="138"/>
      <c r="H359" s="138">
        <f>SUM(H357:H358)</f>
        <v>28047.27</v>
      </c>
    </row>
    <row r="360" spans="1:8" ht="9" customHeight="1">
      <c r="A360" s="135"/>
      <c r="B360" s="136"/>
      <c r="C360" s="388"/>
      <c r="D360" s="388"/>
      <c r="E360" s="138"/>
      <c r="F360" s="138"/>
      <c r="G360" s="150"/>
      <c r="H360" s="157"/>
    </row>
    <row r="361" spans="1:8" ht="15" customHeight="1">
      <c r="A361" s="135"/>
      <c r="B361" s="136"/>
      <c r="C361" s="386" t="s">
        <v>282</v>
      </c>
      <c r="D361" s="386"/>
      <c r="E361" s="138"/>
      <c r="F361" s="112"/>
      <c r="G361" s="150"/>
      <c r="H361" s="157"/>
    </row>
    <row r="362" spans="1:8" ht="10.5" customHeight="1">
      <c r="A362" s="135"/>
      <c r="B362" s="136"/>
      <c r="C362" s="149"/>
      <c r="D362" s="138"/>
      <c r="E362" s="138"/>
      <c r="F362" s="112"/>
      <c r="G362" s="150"/>
      <c r="H362" s="157"/>
    </row>
    <row r="363" spans="1:8" ht="30">
      <c r="A363" s="135">
        <v>2</v>
      </c>
      <c r="B363" s="158" t="s">
        <v>260</v>
      </c>
      <c r="C363" s="149" t="s">
        <v>261</v>
      </c>
      <c r="D363" s="138">
        <f>D359*1.5/100</f>
        <v>409.24172999999996</v>
      </c>
      <c r="E363" s="138">
        <f>E359*1.5/100</f>
        <v>11.467319999999999</v>
      </c>
      <c r="F363" s="138"/>
      <c r="G363" s="138"/>
      <c r="H363" s="138">
        <f>E363+D363</f>
        <v>420.70904999999993</v>
      </c>
    </row>
    <row r="364" spans="1:8" ht="9" customHeight="1">
      <c r="A364" s="135"/>
      <c r="B364" s="136"/>
      <c r="C364" s="149"/>
      <c r="D364" s="138"/>
      <c r="E364" s="138"/>
      <c r="F364" s="112"/>
      <c r="G364" s="150"/>
      <c r="H364" s="157"/>
    </row>
    <row r="365" spans="1:8">
      <c r="A365" s="135"/>
      <c r="B365" s="136"/>
      <c r="C365" s="159" t="s">
        <v>262</v>
      </c>
      <c r="D365" s="160">
        <f>D363+D359</f>
        <v>27692.023730000001</v>
      </c>
      <c r="E365" s="160">
        <f>E363+E359</f>
        <v>775.95532000000003</v>
      </c>
      <c r="F365" s="160"/>
      <c r="G365" s="160"/>
      <c r="H365" s="160">
        <f>H363+H359</f>
        <v>28467.979050000002</v>
      </c>
    </row>
    <row r="366" spans="1:8" ht="9.75" customHeight="1">
      <c r="A366" s="161"/>
      <c r="B366" s="162"/>
      <c r="C366" s="159"/>
      <c r="D366" s="160"/>
      <c r="E366" s="160"/>
      <c r="F366" s="160"/>
      <c r="G366" s="160"/>
      <c r="H366" s="160"/>
    </row>
    <row r="367" spans="1:8" ht="15.75">
      <c r="A367" s="135"/>
      <c r="B367" s="136"/>
      <c r="C367" s="386" t="s">
        <v>283</v>
      </c>
      <c r="D367" s="386"/>
      <c r="E367" s="138"/>
      <c r="F367" s="112"/>
      <c r="G367" s="150"/>
      <c r="H367" s="157"/>
    </row>
    <row r="368" spans="1:8" ht="8.25" customHeight="1">
      <c r="A368" s="135"/>
      <c r="B368" s="136"/>
      <c r="C368" s="149"/>
      <c r="D368" s="138"/>
      <c r="E368" s="138"/>
      <c r="F368" s="112"/>
      <c r="G368" s="150"/>
      <c r="H368" s="157"/>
    </row>
    <row r="369" spans="1:8" ht="30">
      <c r="A369" s="135">
        <v>3</v>
      </c>
      <c r="B369" s="158" t="s">
        <v>278</v>
      </c>
      <c r="C369" s="149" t="s">
        <v>263</v>
      </c>
      <c r="D369" s="138">
        <f>D365*0.7/100</f>
        <v>193.84416611</v>
      </c>
      <c r="E369" s="138">
        <f>E365*0.7/100</f>
        <v>5.4316872399999996</v>
      </c>
      <c r="F369" s="138"/>
      <c r="G369" s="138"/>
      <c r="H369" s="138">
        <f>E369+D369</f>
        <v>199.27585335000001</v>
      </c>
    </row>
    <row r="370" spans="1:8" ht="11.25" customHeight="1" thickBot="1">
      <c r="A370" s="135"/>
      <c r="B370" s="136"/>
      <c r="C370" s="151"/>
      <c r="D370" s="152"/>
      <c r="E370" s="152"/>
      <c r="F370" s="153"/>
      <c r="G370" s="154"/>
      <c r="H370" s="155"/>
    </row>
    <row r="371" spans="1:8" ht="15.75">
      <c r="A371" s="135"/>
      <c r="B371" s="136"/>
      <c r="C371" s="156" t="s">
        <v>264</v>
      </c>
      <c r="D371" s="138">
        <f>SUM(D369:D370)</f>
        <v>193.84416611</v>
      </c>
      <c r="E371" s="138">
        <f>SUM(E369:E370)</f>
        <v>5.4316872399999996</v>
      </c>
      <c r="F371" s="112"/>
      <c r="G371" s="150"/>
      <c r="H371" s="157">
        <f>SUM(H369:H370)</f>
        <v>199.27585335000001</v>
      </c>
    </row>
    <row r="372" spans="1:8" ht="12.75" customHeight="1">
      <c r="A372" s="135"/>
      <c r="B372" s="136"/>
      <c r="C372" s="149"/>
      <c r="D372" s="138"/>
      <c r="E372" s="138"/>
      <c r="F372" s="112"/>
      <c r="G372" s="150"/>
      <c r="H372" s="157"/>
    </row>
    <row r="373" spans="1:8">
      <c r="A373" s="135"/>
      <c r="B373" s="162"/>
      <c r="C373" s="159" t="s">
        <v>265</v>
      </c>
      <c r="D373" s="160">
        <f>D371+D365</f>
        <v>27885.867896110001</v>
      </c>
      <c r="E373" s="160">
        <f>E369+E365</f>
        <v>781.38700724</v>
      </c>
      <c r="F373" s="160"/>
      <c r="G373" s="160"/>
      <c r="H373" s="160">
        <f>H371+H365</f>
        <v>28667.25490335</v>
      </c>
    </row>
    <row r="374" spans="1:8" ht="12" customHeight="1" thickBot="1">
      <c r="A374" s="135"/>
      <c r="B374" s="136"/>
      <c r="C374" s="151"/>
      <c r="D374" s="152"/>
      <c r="E374" s="152"/>
      <c r="F374" s="153"/>
      <c r="G374" s="154"/>
      <c r="H374" s="155"/>
    </row>
    <row r="375" spans="1:8">
      <c r="A375" s="135"/>
      <c r="B375" s="136"/>
      <c r="C375" s="156"/>
      <c r="D375" s="138"/>
      <c r="E375" s="138"/>
      <c r="F375" s="138"/>
      <c r="G375" s="138"/>
      <c r="H375" s="138"/>
    </row>
    <row r="376" spans="1:8" ht="15.75">
      <c r="A376" s="135"/>
      <c r="B376" s="136"/>
      <c r="C376" s="386" t="s">
        <v>284</v>
      </c>
      <c r="D376" s="386"/>
      <c r="E376" s="386"/>
      <c r="F376" s="112"/>
      <c r="G376" s="150"/>
      <c r="H376" s="157"/>
    </row>
    <row r="377" spans="1:8" ht="15.75">
      <c r="A377" s="161"/>
      <c r="B377" s="136"/>
      <c r="C377" s="149"/>
      <c r="D377" s="138"/>
      <c r="E377" s="138"/>
      <c r="F377" s="112"/>
      <c r="G377" s="150"/>
      <c r="H377" s="157"/>
    </row>
    <row r="378" spans="1:8" ht="15.75">
      <c r="A378" s="161">
        <v>4</v>
      </c>
      <c r="B378" s="136" t="s">
        <v>279</v>
      </c>
      <c r="C378" s="149" t="s">
        <v>266</v>
      </c>
      <c r="D378" s="138"/>
      <c r="E378" s="138"/>
      <c r="F378" s="112"/>
      <c r="G378" s="150">
        <f>H373*2/100</f>
        <v>573.34509806699998</v>
      </c>
      <c r="H378" s="157">
        <f>SUM(G378)</f>
        <v>573.34509806699998</v>
      </c>
    </row>
    <row r="379" spans="1:8">
      <c r="A379" s="135">
        <v>5</v>
      </c>
      <c r="B379" s="158" t="s">
        <v>280</v>
      </c>
      <c r="C379" s="149" t="s">
        <v>267</v>
      </c>
      <c r="D379" s="138"/>
      <c r="E379" s="138"/>
      <c r="F379" s="112"/>
      <c r="G379" s="150">
        <f>H373*0.8/100</f>
        <v>229.33803922680002</v>
      </c>
      <c r="H379" s="150">
        <f>SUM(G379)</f>
        <v>229.33803922680002</v>
      </c>
    </row>
    <row r="380" spans="1:8" ht="11.25" customHeight="1" thickBot="1">
      <c r="A380" s="135"/>
      <c r="B380" s="136"/>
      <c r="C380" s="151"/>
      <c r="D380" s="152"/>
      <c r="E380" s="152"/>
      <c r="F380" s="153"/>
      <c r="G380" s="154"/>
      <c r="H380" s="155"/>
    </row>
    <row r="381" spans="1:8">
      <c r="A381" s="135"/>
      <c r="B381" s="136"/>
      <c r="C381" s="156" t="s">
        <v>268</v>
      </c>
      <c r="D381" s="138"/>
      <c r="E381" s="138"/>
      <c r="F381" s="112"/>
      <c r="G381" s="150">
        <f>G378+G379</f>
        <v>802.68313729379997</v>
      </c>
      <c r="H381" s="150">
        <f>SUM(H378:H380)</f>
        <v>802.68313729379997</v>
      </c>
    </row>
    <row r="382" spans="1:8" ht="15.75">
      <c r="A382" s="135"/>
      <c r="B382" s="136"/>
      <c r="C382" s="149"/>
      <c r="D382" s="138"/>
      <c r="E382" s="138"/>
      <c r="F382" s="112"/>
      <c r="G382" s="150"/>
      <c r="H382" s="157"/>
    </row>
    <row r="383" spans="1:8">
      <c r="A383" s="135"/>
      <c r="B383" s="162"/>
      <c r="C383" s="159" t="s">
        <v>269</v>
      </c>
      <c r="D383" s="160">
        <f>D373</f>
        <v>27885.867896110001</v>
      </c>
      <c r="E383" s="160">
        <f>E373</f>
        <v>781.38700724</v>
      </c>
      <c r="F383" s="163"/>
      <c r="G383" s="160">
        <f>SUM(G374,G381)</f>
        <v>802.68313729379997</v>
      </c>
      <c r="H383" s="160">
        <f>H381+H373</f>
        <v>29469.938040643799</v>
      </c>
    </row>
    <row r="384" spans="1:8" ht="9.75" customHeight="1">
      <c r="A384" s="135"/>
      <c r="B384" s="136"/>
      <c r="C384" s="156"/>
      <c r="D384" s="138"/>
      <c r="E384" s="112"/>
      <c r="F384" s="112"/>
      <c r="G384" s="164"/>
      <c r="H384" s="165"/>
    </row>
    <row r="385" spans="1:8">
      <c r="A385" s="135">
        <v>6</v>
      </c>
      <c r="B385" s="136" t="s">
        <v>270</v>
      </c>
      <c r="C385" s="149" t="s">
        <v>271</v>
      </c>
      <c r="D385" s="138">
        <f>D383*3/100</f>
        <v>836.57603688330016</v>
      </c>
      <c r="E385" s="138">
        <f>E383*3/100</f>
        <v>23.441610217200001</v>
      </c>
      <c r="F385" s="138"/>
      <c r="G385" s="138">
        <f>G383*3/10</f>
        <v>240.80494118813999</v>
      </c>
      <c r="H385" s="138">
        <f>H383*3/100</f>
        <v>884.09814121931402</v>
      </c>
    </row>
    <row r="386" spans="1:8" ht="16.5" thickBot="1">
      <c r="A386" s="161"/>
      <c r="B386" s="136"/>
      <c r="C386" s="166"/>
      <c r="D386" s="152"/>
      <c r="E386" s="152"/>
      <c r="F386" s="153"/>
      <c r="G386" s="152"/>
      <c r="H386" s="155"/>
    </row>
    <row r="387" spans="1:8">
      <c r="A387" s="161"/>
      <c r="B387" s="136"/>
      <c r="C387" s="167" t="s">
        <v>247</v>
      </c>
      <c r="D387" s="168">
        <f>SUM(D383:D385)</f>
        <v>28722.443932993301</v>
      </c>
      <c r="E387" s="168">
        <f>SUM(E383:E385)</f>
        <v>804.82861745720004</v>
      </c>
      <c r="F387" s="168"/>
      <c r="G387" s="168">
        <f>G385+G383</f>
        <v>1043.48807848194</v>
      </c>
      <c r="H387" s="168">
        <f>SUM(H383:H385)</f>
        <v>30354.036181863114</v>
      </c>
    </row>
    <row r="388" spans="1:8" ht="12" customHeight="1">
      <c r="A388" s="135"/>
      <c r="B388" s="136"/>
      <c r="C388" s="167"/>
      <c r="D388" s="169"/>
      <c r="E388" s="169"/>
      <c r="F388" s="170"/>
      <c r="G388" s="169"/>
      <c r="H388" s="171"/>
    </row>
    <row r="389" spans="1:8">
      <c r="A389" s="135">
        <v>7</v>
      </c>
      <c r="B389" s="136" t="s">
        <v>272</v>
      </c>
      <c r="C389" s="167" t="s">
        <v>273</v>
      </c>
      <c r="D389" s="169">
        <f>D387*20%</f>
        <v>5744.4887865986602</v>
      </c>
      <c r="E389" s="169">
        <f>E387*20%</f>
        <v>160.96572349144003</v>
      </c>
      <c r="F389" s="170"/>
      <c r="G389" s="169">
        <f>G387*20%</f>
        <v>208.697615696388</v>
      </c>
      <c r="H389" s="169">
        <f>H387*20%</f>
        <v>6070.8072363726233</v>
      </c>
    </row>
    <row r="390" spans="1:8" ht="11.25" customHeight="1" thickBot="1">
      <c r="A390" s="135"/>
      <c r="B390" s="136"/>
      <c r="C390" s="166"/>
      <c r="D390" s="152"/>
      <c r="E390" s="152"/>
      <c r="F390" s="153"/>
      <c r="G390" s="152"/>
      <c r="H390" s="152"/>
    </row>
    <row r="391" spans="1:8" ht="30">
      <c r="A391" s="135"/>
      <c r="B391" s="136"/>
      <c r="C391" s="172" t="s">
        <v>274</v>
      </c>
      <c r="D391" s="173">
        <f>SUM(D387:D389)</f>
        <v>34466.932719591961</v>
      </c>
      <c r="E391" s="173">
        <f>SUM(E387:E389)</f>
        <v>965.79434094864007</v>
      </c>
      <c r="F391" s="173"/>
      <c r="G391" s="173">
        <f>SUM(G387:G389)</f>
        <v>1252.185694178328</v>
      </c>
      <c r="H391" s="173">
        <f>SUM(H387:H389)</f>
        <v>36424.843418235738</v>
      </c>
    </row>
    <row r="392" spans="1:8">
      <c r="A392" s="135"/>
      <c r="B392" s="136"/>
      <c r="C392" s="156"/>
      <c r="D392" s="138"/>
      <c r="E392" s="138"/>
      <c r="F392" s="112"/>
      <c r="G392" s="138"/>
      <c r="H392" s="138"/>
    </row>
    <row r="393" spans="1:8" ht="15.75">
      <c r="A393" s="135"/>
      <c r="B393" s="136"/>
      <c r="C393" s="149"/>
      <c r="D393" s="138"/>
      <c r="E393" s="138"/>
      <c r="F393" s="112"/>
      <c r="G393" s="150"/>
      <c r="H393" s="157"/>
    </row>
    <row r="394" spans="1:8">
      <c r="A394" s="161"/>
      <c r="B394" s="162"/>
      <c r="C394" s="159"/>
      <c r="D394" s="160"/>
      <c r="E394" s="160"/>
      <c r="F394" s="160"/>
      <c r="G394" s="160"/>
      <c r="H394" s="160"/>
    </row>
    <row r="395" spans="1:8">
      <c r="A395" s="68"/>
      <c r="B395" s="67"/>
      <c r="C395" s="131"/>
      <c r="D395" s="132"/>
      <c r="E395" s="133"/>
      <c r="F395" s="131"/>
      <c r="G395" s="133"/>
      <c r="H395" s="134"/>
    </row>
    <row r="396" spans="1:8">
      <c r="A396" s="68"/>
      <c r="B396" s="67"/>
      <c r="C396" s="131"/>
      <c r="D396" s="132"/>
      <c r="E396" s="133"/>
      <c r="F396" s="131"/>
      <c r="G396" s="133"/>
      <c r="H396" s="134"/>
    </row>
  </sheetData>
  <mergeCells count="47">
    <mergeCell ref="C361:D361"/>
    <mergeCell ref="C367:D367"/>
    <mergeCell ref="C376:E376"/>
    <mergeCell ref="C355:D355"/>
    <mergeCell ref="C360:D360"/>
    <mergeCell ref="G349:H349"/>
    <mergeCell ref="A351:A352"/>
    <mergeCell ref="B351:B352"/>
    <mergeCell ref="C351:C352"/>
    <mergeCell ref="D351:H351"/>
    <mergeCell ref="A303:A304"/>
    <mergeCell ref="B303:B304"/>
    <mergeCell ref="C303:C304"/>
    <mergeCell ref="D303:G303"/>
    <mergeCell ref="H303:H304"/>
    <mergeCell ref="P239:P240"/>
    <mergeCell ref="O239:O240"/>
    <mergeCell ref="A1:P1"/>
    <mergeCell ref="F2:J2"/>
    <mergeCell ref="J4:L4"/>
    <mergeCell ref="M4:N4"/>
    <mergeCell ref="O4:P4"/>
    <mergeCell ref="A5:A6"/>
    <mergeCell ref="B5:B6"/>
    <mergeCell ref="C5:C6"/>
    <mergeCell ref="D5:D6"/>
    <mergeCell ref="K5:K6"/>
    <mergeCell ref="F100:I100"/>
    <mergeCell ref="O120:O121"/>
    <mergeCell ref="P120:P121"/>
    <mergeCell ref="L5:P5"/>
    <mergeCell ref="E5:E6"/>
    <mergeCell ref="F5:G5"/>
    <mergeCell ref="H5:I5"/>
    <mergeCell ref="J5:J6"/>
    <mergeCell ref="O128:O129"/>
    <mergeCell ref="P128:P129"/>
    <mergeCell ref="O106:O107"/>
    <mergeCell ref="P106:P107"/>
    <mergeCell ref="F149:I149"/>
    <mergeCell ref="O131:O132"/>
    <mergeCell ref="P131:P132"/>
    <mergeCell ref="O133:O134"/>
    <mergeCell ref="P133:P134"/>
    <mergeCell ref="F115:J115"/>
    <mergeCell ref="O117:O118"/>
    <mergeCell ref="P117:P118"/>
  </mergeCells>
  <pageMargins left="0.70866141732283472" right="0.70866141732283472" top="0.74803149606299213" bottom="0.74803149606299213" header="0.31496062992125984" footer="0.31496062992125984"/>
  <pageSetup paperSize="9" scale="6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59"/>
  <sheetViews>
    <sheetView topLeftCell="A19" workbookViewId="0">
      <selection activeCell="R54" sqref="R54"/>
    </sheetView>
  </sheetViews>
  <sheetFormatPr defaultRowHeight="15"/>
  <cols>
    <col min="1" max="1" width="4.5703125" customWidth="1"/>
    <col min="3" max="3" width="27.140625" customWidth="1"/>
    <col min="4" max="4" width="7.5703125" customWidth="1"/>
    <col min="5" max="5" width="8.140625" customWidth="1"/>
    <col min="6" max="6" width="7.140625" customWidth="1"/>
    <col min="7" max="7" width="7.42578125" customWidth="1"/>
    <col min="8" max="8" width="7.140625" customWidth="1"/>
    <col min="9" max="9" width="7" customWidth="1"/>
    <col min="10" max="10" width="11.28515625" customWidth="1"/>
    <col min="11" max="11" width="6.7109375" customWidth="1"/>
    <col min="12" max="12" width="7.7109375" customWidth="1"/>
    <col min="13" max="13" width="7.5703125" customWidth="1"/>
    <col min="14" max="14" width="7.42578125" customWidth="1"/>
    <col min="15" max="15" width="7.7109375" customWidth="1"/>
    <col min="16" max="16" width="7.28515625" customWidth="1"/>
  </cols>
  <sheetData>
    <row r="1" spans="1:16">
      <c r="A1" s="363" t="s">
        <v>74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  <c r="O1" s="363"/>
      <c r="P1" s="363"/>
    </row>
    <row r="2" spans="1:16">
      <c r="A2" s="1"/>
      <c r="B2" s="1"/>
      <c r="C2" s="1"/>
      <c r="D2" s="1"/>
      <c r="E2" s="1"/>
      <c r="F2" s="364" t="s">
        <v>73</v>
      </c>
      <c r="G2" s="364"/>
      <c r="H2" s="364"/>
      <c r="I2" s="364"/>
      <c r="J2" s="364"/>
      <c r="K2" s="1"/>
      <c r="L2" s="1"/>
      <c r="M2" s="1"/>
      <c r="N2" s="1"/>
      <c r="O2" s="90"/>
      <c r="P2" s="2"/>
    </row>
    <row r="3" spans="1:16">
      <c r="A3" s="1"/>
      <c r="B3" s="1"/>
      <c r="C3" s="1"/>
      <c r="D3" s="1"/>
      <c r="E3" s="1"/>
      <c r="F3" s="1"/>
      <c r="G3" s="90"/>
      <c r="H3" s="1"/>
      <c r="I3" s="4"/>
      <c r="J3" s="1"/>
      <c r="K3" s="1"/>
      <c r="L3" s="1"/>
      <c r="M3" s="1"/>
      <c r="N3" s="1"/>
      <c r="O3" s="90"/>
      <c r="P3" s="2"/>
    </row>
    <row r="4" spans="1:16">
      <c r="A4" s="1"/>
      <c r="B4" s="1"/>
      <c r="C4" s="1"/>
      <c r="D4" s="1"/>
      <c r="E4" s="1"/>
      <c r="F4" s="1"/>
      <c r="G4" s="90"/>
      <c r="H4" s="1"/>
      <c r="I4" s="4"/>
      <c r="J4" s="365" t="s">
        <v>0</v>
      </c>
      <c r="K4" s="365"/>
      <c r="L4" s="365"/>
      <c r="M4" s="366">
        <v>29967.262999999999</v>
      </c>
      <c r="N4" s="366"/>
      <c r="O4" s="367" t="s">
        <v>1</v>
      </c>
      <c r="P4" s="367"/>
    </row>
    <row r="5" spans="1:16">
      <c r="A5" s="393" t="s">
        <v>2</v>
      </c>
      <c r="B5" s="391" t="s">
        <v>3</v>
      </c>
      <c r="C5" s="396" t="s">
        <v>4</v>
      </c>
      <c r="D5" s="393" t="s">
        <v>5</v>
      </c>
      <c r="E5" s="393" t="s">
        <v>6</v>
      </c>
      <c r="F5" s="389" t="s">
        <v>7</v>
      </c>
      <c r="G5" s="390"/>
      <c r="H5" s="389" t="s">
        <v>8</v>
      </c>
      <c r="I5" s="390"/>
      <c r="J5" s="391" t="s">
        <v>9</v>
      </c>
      <c r="K5" s="393" t="s">
        <v>5</v>
      </c>
      <c r="L5" s="389" t="s">
        <v>10</v>
      </c>
      <c r="M5" s="395"/>
      <c r="N5" s="395"/>
      <c r="O5" s="395"/>
      <c r="P5" s="390"/>
    </row>
    <row r="6" spans="1:16" ht="25.5">
      <c r="A6" s="394"/>
      <c r="B6" s="392"/>
      <c r="C6" s="397"/>
      <c r="D6" s="394"/>
      <c r="E6" s="394"/>
      <c r="F6" s="8" t="s">
        <v>11</v>
      </c>
      <c r="G6" s="9" t="s">
        <v>12</v>
      </c>
      <c r="H6" s="8" t="s">
        <v>11</v>
      </c>
      <c r="I6" s="10" t="s">
        <v>12</v>
      </c>
      <c r="J6" s="392"/>
      <c r="K6" s="394"/>
      <c r="L6" s="8" t="s">
        <v>13</v>
      </c>
      <c r="M6" s="13" t="s">
        <v>14</v>
      </c>
      <c r="N6" s="14" t="s">
        <v>15</v>
      </c>
      <c r="O6" s="9" t="s">
        <v>16</v>
      </c>
      <c r="P6" s="15" t="s">
        <v>17</v>
      </c>
    </row>
    <row r="7" spans="1:16">
      <c r="A7" s="5">
        <v>1</v>
      </c>
      <c r="B7" s="5">
        <v>2</v>
      </c>
      <c r="C7" s="6">
        <v>3</v>
      </c>
      <c r="D7" s="5">
        <v>4</v>
      </c>
      <c r="E7" s="5">
        <v>5</v>
      </c>
      <c r="F7" s="5">
        <v>6</v>
      </c>
      <c r="G7" s="6">
        <v>7</v>
      </c>
      <c r="H7" s="5">
        <v>8</v>
      </c>
      <c r="I7" s="6">
        <v>9</v>
      </c>
      <c r="J7" s="5">
        <v>10</v>
      </c>
      <c r="K7" s="5">
        <v>11</v>
      </c>
      <c r="L7" s="5">
        <v>12</v>
      </c>
      <c r="M7" s="6">
        <v>13</v>
      </c>
      <c r="N7" s="5">
        <v>14</v>
      </c>
      <c r="O7" s="6">
        <v>15</v>
      </c>
      <c r="P7" s="6">
        <v>16</v>
      </c>
    </row>
    <row r="8" spans="1:16">
      <c r="A8" s="65"/>
      <c r="B8" s="65"/>
      <c r="C8" s="11"/>
      <c r="D8" s="65"/>
      <c r="E8" s="65"/>
      <c r="F8" s="81" t="s">
        <v>72</v>
      </c>
      <c r="G8" s="11"/>
      <c r="H8" s="65"/>
      <c r="I8" s="11"/>
      <c r="J8" s="65"/>
      <c r="K8" s="65"/>
      <c r="L8" s="65"/>
      <c r="M8" s="11"/>
      <c r="N8" s="65"/>
      <c r="O8" s="11"/>
      <c r="P8" s="11"/>
    </row>
    <row r="9" spans="1:16" ht="38.25">
      <c r="A9" s="7">
        <v>1</v>
      </c>
      <c r="B9" s="16" t="s">
        <v>19</v>
      </c>
      <c r="C9" s="17" t="s">
        <v>20</v>
      </c>
      <c r="D9" s="75" t="s">
        <v>152</v>
      </c>
      <c r="E9" s="18">
        <v>2.65</v>
      </c>
      <c r="F9" s="56">
        <v>7.7</v>
      </c>
      <c r="G9" s="37">
        <f>+F9*2.1411</f>
        <v>16.486469999999997</v>
      </c>
      <c r="H9" s="37">
        <v>1.7</v>
      </c>
      <c r="I9" s="37">
        <f>+H9*2.85548</f>
        <v>4.8543159999999999</v>
      </c>
      <c r="J9" s="38"/>
      <c r="K9" s="34"/>
      <c r="L9" s="51"/>
      <c r="M9" s="37"/>
      <c r="N9" s="83"/>
      <c r="O9" s="37">
        <f>+(L9*N9)*1.132047+G9+I9</f>
        <v>21.340785999999998</v>
      </c>
      <c r="P9" s="37">
        <f>O9*E9</f>
        <v>56.553082899999993</v>
      </c>
    </row>
    <row r="10" spans="1:16">
      <c r="A10" s="7"/>
      <c r="B10" s="70"/>
      <c r="C10" s="70"/>
      <c r="D10" s="75"/>
      <c r="E10" s="70"/>
      <c r="F10" s="56"/>
      <c r="G10" s="37"/>
      <c r="H10" s="37"/>
      <c r="I10" s="37"/>
      <c r="J10" s="38"/>
      <c r="K10" s="34"/>
      <c r="L10" s="51"/>
      <c r="M10" s="37"/>
      <c r="N10" s="83"/>
      <c r="O10" s="37"/>
      <c r="P10" s="37"/>
    </row>
    <row r="11" spans="1:16" ht="33.75">
      <c r="A11" s="7">
        <v>2</v>
      </c>
      <c r="B11" s="16" t="s">
        <v>21</v>
      </c>
      <c r="C11" s="17" t="s">
        <v>22</v>
      </c>
      <c r="D11" s="75" t="s">
        <v>152</v>
      </c>
      <c r="E11" s="18">
        <v>2.65</v>
      </c>
      <c r="F11" s="56">
        <v>56.1</v>
      </c>
      <c r="G11" s="37">
        <f t="shared" ref="G11:G49" si="0">+F11*2.1411</f>
        <v>120.11570999999999</v>
      </c>
      <c r="H11" s="37">
        <v>10.3</v>
      </c>
      <c r="I11" s="37">
        <f t="shared" ref="I11:I49" si="1">+H11*2.85548</f>
        <v>29.411444000000003</v>
      </c>
      <c r="J11" s="38"/>
      <c r="K11" s="34"/>
      <c r="L11" s="51"/>
      <c r="M11" s="37"/>
      <c r="N11" s="83"/>
      <c r="O11" s="37">
        <f t="shared" ref="O11:O49" si="2">+(L11*N11)*1.132047+G11+I11</f>
        <v>149.527154</v>
      </c>
      <c r="P11" s="37">
        <f t="shared" ref="P11:P49" si="3">O11*E11</f>
        <v>396.24695809999997</v>
      </c>
    </row>
    <row r="12" spans="1:16">
      <c r="A12" s="7"/>
      <c r="B12" s="19"/>
      <c r="C12" s="17"/>
      <c r="D12" s="76"/>
      <c r="E12" s="27"/>
      <c r="F12" s="12"/>
      <c r="G12" s="37"/>
      <c r="H12" s="50"/>
      <c r="I12" s="37"/>
      <c r="J12" s="39"/>
      <c r="K12" s="42"/>
      <c r="L12" s="53"/>
      <c r="M12" s="37"/>
      <c r="N12" s="45"/>
      <c r="O12" s="37"/>
      <c r="P12" s="37"/>
    </row>
    <row r="13" spans="1:16" ht="25.5">
      <c r="A13" s="7">
        <v>3</v>
      </c>
      <c r="B13" s="16" t="s">
        <v>23</v>
      </c>
      <c r="C13" s="17" t="s">
        <v>24</v>
      </c>
      <c r="D13" s="76" t="s">
        <v>25</v>
      </c>
      <c r="E13" s="18">
        <v>26</v>
      </c>
      <c r="F13" s="57">
        <v>0.45</v>
      </c>
      <c r="G13" s="37">
        <f t="shared" si="0"/>
        <v>0.96349499999999988</v>
      </c>
      <c r="H13" s="32"/>
      <c r="I13" s="37"/>
      <c r="J13" s="83"/>
      <c r="K13" s="83"/>
      <c r="L13" s="83"/>
      <c r="M13" s="37"/>
      <c r="N13" s="83"/>
      <c r="O13" s="37">
        <f t="shared" si="2"/>
        <v>0.96349499999999988</v>
      </c>
      <c r="P13" s="37">
        <f t="shared" si="3"/>
        <v>25.050869999999996</v>
      </c>
    </row>
    <row r="14" spans="1:16">
      <c r="A14" s="7"/>
      <c r="B14" s="70"/>
      <c r="C14" s="70"/>
      <c r="D14" s="84"/>
      <c r="E14" s="70"/>
      <c r="F14" s="12"/>
      <c r="G14" s="37"/>
      <c r="H14" s="32"/>
      <c r="I14" s="37"/>
      <c r="J14" s="83"/>
      <c r="K14" s="83"/>
      <c r="L14" s="83"/>
      <c r="M14" s="37"/>
      <c r="N14" s="83"/>
      <c r="O14" s="37"/>
      <c r="P14" s="37"/>
    </row>
    <row r="15" spans="1:16" ht="25.5">
      <c r="A15" s="7">
        <v>4</v>
      </c>
      <c r="B15" s="16" t="s">
        <v>26</v>
      </c>
      <c r="C15" s="17" t="s">
        <v>27</v>
      </c>
      <c r="D15" s="76" t="s">
        <v>25</v>
      </c>
      <c r="E15" s="18">
        <v>26</v>
      </c>
      <c r="F15" s="12"/>
      <c r="G15" s="37"/>
      <c r="H15" s="32">
        <v>0.55000000000000004</v>
      </c>
      <c r="I15" s="37">
        <f t="shared" si="1"/>
        <v>1.5705140000000002</v>
      </c>
      <c r="J15" s="31"/>
      <c r="K15" s="83"/>
      <c r="L15" s="83"/>
      <c r="M15" s="37"/>
      <c r="N15" s="83"/>
      <c r="O15" s="37">
        <f t="shared" si="2"/>
        <v>1.5705140000000002</v>
      </c>
      <c r="P15" s="37">
        <f t="shared" si="3"/>
        <v>40.833364000000003</v>
      </c>
    </row>
    <row r="16" spans="1:16">
      <c r="A16" s="7"/>
      <c r="B16" s="70"/>
      <c r="C16" s="70"/>
      <c r="D16" s="76"/>
      <c r="E16" s="70"/>
      <c r="F16" s="12"/>
      <c r="G16" s="37"/>
      <c r="H16" s="32"/>
      <c r="I16" s="37"/>
      <c r="J16" s="83"/>
      <c r="K16" s="83"/>
      <c r="L16" s="83"/>
      <c r="M16" s="37"/>
      <c r="N16" s="83"/>
      <c r="O16" s="37"/>
      <c r="P16" s="37"/>
    </row>
    <row r="17" spans="1:16" ht="25.5">
      <c r="A17" s="7">
        <v>5</v>
      </c>
      <c r="B17" s="16" t="s">
        <v>151</v>
      </c>
      <c r="C17" s="17" t="s">
        <v>28</v>
      </c>
      <c r="D17" s="76" t="s">
        <v>29</v>
      </c>
      <c r="E17" s="18">
        <v>1</v>
      </c>
      <c r="F17" s="58">
        <v>3.5</v>
      </c>
      <c r="G17" s="37">
        <f t="shared" si="0"/>
        <v>7.4938499999999992</v>
      </c>
      <c r="H17" s="32">
        <v>0.3</v>
      </c>
      <c r="I17" s="37">
        <f t="shared" si="1"/>
        <v>0.85664399999999996</v>
      </c>
      <c r="J17" s="30" t="s">
        <v>49</v>
      </c>
      <c r="K17" s="28" t="s">
        <v>50</v>
      </c>
      <c r="L17" s="33">
        <v>1.94</v>
      </c>
      <c r="M17" s="37">
        <f t="shared" ref="M17:M49" si="4">+L17*E17</f>
        <v>1.94</v>
      </c>
      <c r="N17" s="37">
        <v>23.8</v>
      </c>
      <c r="O17" s="37">
        <f t="shared" si="2"/>
        <v>60.619368084000001</v>
      </c>
      <c r="P17" s="37">
        <f t="shared" si="3"/>
        <v>60.619368084000001</v>
      </c>
    </row>
    <row r="18" spans="1:16">
      <c r="A18" s="7"/>
      <c r="B18" s="70"/>
      <c r="C18" s="70"/>
      <c r="D18" s="84"/>
      <c r="E18" s="70"/>
      <c r="F18" s="12"/>
      <c r="G18" s="37"/>
      <c r="H18" s="32"/>
      <c r="I18" s="37"/>
      <c r="J18" s="30" t="s">
        <v>51</v>
      </c>
      <c r="K18" s="28" t="s">
        <v>52</v>
      </c>
      <c r="L18" s="33">
        <v>0.22</v>
      </c>
      <c r="M18" s="37">
        <f>+L18*E17</f>
        <v>0.22</v>
      </c>
      <c r="N18" s="37">
        <v>141.667</v>
      </c>
      <c r="O18" s="37">
        <f t="shared" si="2"/>
        <v>35.282214516780002</v>
      </c>
      <c r="P18" s="37">
        <f>O18*E17</f>
        <v>35.282214516780002</v>
      </c>
    </row>
    <row r="19" spans="1:16">
      <c r="A19" s="7">
        <v>6</v>
      </c>
      <c r="B19" s="70"/>
      <c r="C19" s="71" t="s">
        <v>30</v>
      </c>
      <c r="D19" s="77" t="s">
        <v>29</v>
      </c>
      <c r="E19" s="18">
        <v>1</v>
      </c>
      <c r="F19" s="12"/>
      <c r="G19" s="37"/>
      <c r="H19" s="32"/>
      <c r="I19" s="37"/>
      <c r="J19" s="30" t="s">
        <v>30</v>
      </c>
      <c r="K19" s="35" t="s">
        <v>29</v>
      </c>
      <c r="L19" s="54">
        <v>1</v>
      </c>
      <c r="M19" s="37">
        <f t="shared" si="4"/>
        <v>1</v>
      </c>
      <c r="N19" s="37">
        <v>1</v>
      </c>
      <c r="O19" s="37">
        <f t="shared" si="2"/>
        <v>1.132047</v>
      </c>
      <c r="P19" s="37">
        <f t="shared" si="3"/>
        <v>1.132047</v>
      </c>
    </row>
    <row r="20" spans="1:16">
      <c r="A20" s="82"/>
      <c r="B20" s="19"/>
      <c r="C20" s="17"/>
      <c r="D20" s="76"/>
      <c r="E20" s="27"/>
      <c r="F20" s="82"/>
      <c r="G20" s="37"/>
      <c r="H20" s="50"/>
      <c r="I20" s="37"/>
      <c r="J20" s="39"/>
      <c r="K20" s="42"/>
      <c r="L20" s="53"/>
      <c r="M20" s="37"/>
      <c r="N20" s="45"/>
      <c r="O20" s="37"/>
      <c r="P20" s="37"/>
    </row>
    <row r="21" spans="1:16" ht="51">
      <c r="A21" s="85">
        <v>7</v>
      </c>
      <c r="B21" s="24" t="s">
        <v>31</v>
      </c>
      <c r="C21" s="72" t="s">
        <v>32</v>
      </c>
      <c r="D21" s="78" t="s">
        <v>152</v>
      </c>
      <c r="E21" s="25">
        <v>2.4</v>
      </c>
      <c r="F21" s="59">
        <v>24.5</v>
      </c>
      <c r="G21" s="37">
        <f t="shared" si="0"/>
        <v>52.456949999999992</v>
      </c>
      <c r="H21" s="46">
        <v>3.54</v>
      </c>
      <c r="I21" s="37">
        <f t="shared" si="1"/>
        <v>10.108399200000001</v>
      </c>
      <c r="J21" s="41" t="s">
        <v>53</v>
      </c>
      <c r="K21" s="47" t="s">
        <v>33</v>
      </c>
      <c r="L21" s="52">
        <v>110</v>
      </c>
      <c r="M21" s="37">
        <f t="shared" si="4"/>
        <v>264</v>
      </c>
      <c r="N21" s="46">
        <v>2.4940000000000002</v>
      </c>
      <c r="O21" s="37">
        <f t="shared" si="2"/>
        <v>373.13112318000003</v>
      </c>
      <c r="P21" s="37">
        <f t="shared" si="3"/>
        <v>895.5146956320001</v>
      </c>
    </row>
    <row r="22" spans="1:16">
      <c r="A22" s="82"/>
      <c r="B22" s="22"/>
      <c r="C22" s="17"/>
      <c r="D22" s="75"/>
      <c r="E22" s="20"/>
      <c r="F22" s="82"/>
      <c r="G22" s="37"/>
      <c r="H22" s="43"/>
      <c r="I22" s="37"/>
      <c r="J22" s="29"/>
      <c r="K22" s="42"/>
      <c r="L22" s="53"/>
      <c r="M22" s="37"/>
      <c r="N22" s="45"/>
      <c r="O22" s="37"/>
      <c r="P22" s="37"/>
    </row>
    <row r="23" spans="1:16">
      <c r="A23" s="82"/>
      <c r="B23" s="26"/>
      <c r="C23" s="73"/>
      <c r="D23" s="79"/>
      <c r="E23" s="21"/>
      <c r="F23" s="82"/>
      <c r="G23" s="37"/>
      <c r="H23" s="45"/>
      <c r="I23" s="37"/>
      <c r="J23" s="36"/>
      <c r="K23" s="40"/>
      <c r="L23" s="44"/>
      <c r="M23" s="37"/>
      <c r="N23" s="45"/>
      <c r="O23" s="37"/>
      <c r="P23" s="37"/>
    </row>
    <row r="24" spans="1:16">
      <c r="A24" s="82"/>
      <c r="B24" s="26"/>
      <c r="C24" s="73"/>
      <c r="D24" s="79"/>
      <c r="E24" s="21"/>
      <c r="F24" s="82"/>
      <c r="G24" s="37"/>
      <c r="H24" s="45"/>
      <c r="I24" s="37"/>
      <c r="J24" s="36"/>
      <c r="K24" s="40"/>
      <c r="L24" s="44"/>
      <c r="M24" s="37"/>
      <c r="N24" s="45"/>
      <c r="O24" s="37"/>
      <c r="P24" s="37"/>
    </row>
    <row r="25" spans="1:16">
      <c r="A25" s="85"/>
      <c r="B25" s="26"/>
      <c r="C25" s="73"/>
      <c r="D25" s="79"/>
      <c r="E25" s="21"/>
      <c r="F25" s="82"/>
      <c r="G25" s="37"/>
      <c r="H25" s="45"/>
      <c r="I25" s="37"/>
      <c r="J25" s="36"/>
      <c r="K25" s="40"/>
      <c r="L25" s="44"/>
      <c r="M25" s="37"/>
      <c r="N25" s="45"/>
      <c r="O25" s="37"/>
      <c r="P25" s="37"/>
    </row>
    <row r="26" spans="1:16" ht="36">
      <c r="A26" s="85">
        <v>8</v>
      </c>
      <c r="B26" s="19" t="s">
        <v>34</v>
      </c>
      <c r="C26" s="17" t="s">
        <v>35</v>
      </c>
      <c r="D26" s="76" t="s">
        <v>36</v>
      </c>
      <c r="E26" s="20">
        <v>168</v>
      </c>
      <c r="F26" s="60">
        <v>1.17</v>
      </c>
      <c r="G26" s="37">
        <f t="shared" si="0"/>
        <v>2.5050869999999996</v>
      </c>
      <c r="H26" s="43">
        <v>1.08</v>
      </c>
      <c r="I26" s="37">
        <f t="shared" si="1"/>
        <v>3.0839184000000004</v>
      </c>
      <c r="J26" s="29" t="s">
        <v>154</v>
      </c>
      <c r="K26" s="42" t="s">
        <v>36</v>
      </c>
      <c r="L26" s="53">
        <v>1.1000000000000001</v>
      </c>
      <c r="M26" s="37">
        <f t="shared" si="4"/>
        <v>184.8</v>
      </c>
      <c r="N26" s="45">
        <v>0.51200000000000001</v>
      </c>
      <c r="O26" s="37">
        <f t="shared" si="2"/>
        <v>6.2265742704000004</v>
      </c>
      <c r="P26" s="37">
        <f t="shared" si="3"/>
        <v>1046.0644774272</v>
      </c>
    </row>
    <row r="27" spans="1:16">
      <c r="A27" s="85"/>
      <c r="B27" s="19"/>
      <c r="C27" s="17"/>
      <c r="D27" s="76"/>
      <c r="E27" s="20"/>
      <c r="F27" s="82"/>
      <c r="G27" s="37"/>
      <c r="H27" s="43"/>
      <c r="I27" s="37"/>
      <c r="J27" s="83"/>
      <c r="K27" s="42"/>
      <c r="L27" s="53"/>
      <c r="M27" s="37"/>
      <c r="N27" s="45"/>
      <c r="O27" s="37"/>
      <c r="P27" s="37"/>
    </row>
    <row r="28" spans="1:16" ht="25.5">
      <c r="A28" s="85">
        <v>9</v>
      </c>
      <c r="B28" s="19" t="s">
        <v>37</v>
      </c>
      <c r="C28" s="17" t="s">
        <v>38</v>
      </c>
      <c r="D28" s="76" t="s">
        <v>153</v>
      </c>
      <c r="E28" s="20">
        <v>6.625</v>
      </c>
      <c r="F28" s="61">
        <v>12.6</v>
      </c>
      <c r="G28" s="37">
        <f t="shared" si="0"/>
        <v>26.977859999999996</v>
      </c>
      <c r="H28" s="43">
        <v>2.1</v>
      </c>
      <c r="I28" s="37">
        <f t="shared" si="1"/>
        <v>5.9965080000000004</v>
      </c>
      <c r="J28" s="29" t="s">
        <v>54</v>
      </c>
      <c r="K28" s="42" t="s">
        <v>39</v>
      </c>
      <c r="L28" s="53">
        <v>0</v>
      </c>
      <c r="M28" s="37">
        <f t="shared" si="4"/>
        <v>0</v>
      </c>
      <c r="N28" s="45">
        <v>141.667</v>
      </c>
      <c r="O28" s="37">
        <f>N28*L28*1.132047</f>
        <v>0</v>
      </c>
      <c r="P28" s="37">
        <f t="shared" si="3"/>
        <v>0</v>
      </c>
    </row>
    <row r="29" spans="1:16">
      <c r="A29" s="85"/>
      <c r="B29" s="19"/>
      <c r="C29" s="17"/>
      <c r="D29" s="76"/>
      <c r="E29" s="20"/>
      <c r="F29" s="82"/>
      <c r="G29" s="37"/>
      <c r="H29" s="43"/>
      <c r="I29" s="37"/>
      <c r="J29" s="29" t="s">
        <v>57</v>
      </c>
      <c r="K29" s="40" t="s">
        <v>58</v>
      </c>
      <c r="L29" s="53">
        <v>3.83</v>
      </c>
      <c r="M29" s="37">
        <f>+L29*E28</f>
        <v>25.373750000000001</v>
      </c>
      <c r="N29" s="45">
        <v>0.25</v>
      </c>
      <c r="O29" s="37">
        <f>N29*L29*1.132047</f>
        <v>1.0839350025000001</v>
      </c>
      <c r="P29" s="37">
        <f>O29*E28</f>
        <v>7.1810693915625006</v>
      </c>
    </row>
    <row r="30" spans="1:16">
      <c r="A30" s="85"/>
      <c r="B30" s="19"/>
      <c r="C30" s="17"/>
      <c r="D30" s="76"/>
      <c r="E30" s="20"/>
      <c r="F30" s="82"/>
      <c r="G30" s="37"/>
      <c r="H30" s="43"/>
      <c r="I30" s="37"/>
      <c r="J30" s="29" t="s">
        <v>59</v>
      </c>
      <c r="K30" s="42" t="s">
        <v>55</v>
      </c>
      <c r="L30" s="53">
        <v>1.96</v>
      </c>
      <c r="M30" s="37">
        <f>+L30*E28</f>
        <v>12.984999999999999</v>
      </c>
      <c r="N30" s="45">
        <v>0.2</v>
      </c>
      <c r="O30" s="37">
        <f>N30*L30*1.132047</f>
        <v>0.44376242400000004</v>
      </c>
      <c r="P30" s="37">
        <f>O30*E28</f>
        <v>2.9399260590000003</v>
      </c>
    </row>
    <row r="31" spans="1:16">
      <c r="A31" s="85"/>
      <c r="B31" s="19"/>
      <c r="C31" s="17"/>
      <c r="D31" s="76"/>
      <c r="E31" s="20"/>
      <c r="F31" s="82"/>
      <c r="G31" s="37"/>
      <c r="H31" s="43"/>
      <c r="I31" s="37"/>
      <c r="J31" s="29" t="s">
        <v>60</v>
      </c>
      <c r="K31" s="42" t="s">
        <v>55</v>
      </c>
      <c r="L31" s="53">
        <v>7.2</v>
      </c>
      <c r="M31" s="37">
        <f>+L31*E28</f>
        <v>47.7</v>
      </c>
      <c r="N31" s="45">
        <v>0.38</v>
      </c>
      <c r="O31" s="37">
        <f>N31*L31*1.132047</f>
        <v>3.0972805920000002</v>
      </c>
      <c r="P31" s="37">
        <f>O31*E28</f>
        <v>20.519483922000003</v>
      </c>
    </row>
    <row r="32" spans="1:16" ht="24">
      <c r="A32" s="85"/>
      <c r="B32" s="19"/>
      <c r="C32" s="17"/>
      <c r="D32" s="76"/>
      <c r="E32" s="20"/>
      <c r="F32" s="82"/>
      <c r="G32" s="37"/>
      <c r="H32" s="43"/>
      <c r="I32" s="37"/>
      <c r="J32" s="29" t="s">
        <v>61</v>
      </c>
      <c r="K32" s="42" t="s">
        <v>55</v>
      </c>
      <c r="L32" s="53">
        <v>4.38</v>
      </c>
      <c r="M32" s="37">
        <f>+L32*E28</f>
        <v>29.017499999999998</v>
      </c>
      <c r="N32" s="45">
        <v>0.5</v>
      </c>
      <c r="O32" s="37">
        <f>N32*L32*1.132047</f>
        <v>2.4791829299999999</v>
      </c>
      <c r="P32" s="37">
        <f>O32*E28</f>
        <v>16.42458691125</v>
      </c>
    </row>
    <row r="33" spans="1:16">
      <c r="A33" s="85"/>
      <c r="B33" s="19"/>
      <c r="C33" s="17"/>
      <c r="D33" s="76"/>
      <c r="E33" s="20"/>
      <c r="F33" s="82"/>
      <c r="G33" s="37"/>
      <c r="H33" s="43"/>
      <c r="I33" s="37"/>
      <c r="J33" s="83"/>
      <c r="K33" s="42"/>
      <c r="L33" s="53"/>
      <c r="M33" s="37"/>
      <c r="N33" s="45"/>
      <c r="O33" s="37"/>
      <c r="P33" s="37"/>
    </row>
    <row r="34" spans="1:16" ht="29.25">
      <c r="A34" s="85">
        <v>10</v>
      </c>
      <c r="B34" s="23" t="s">
        <v>40</v>
      </c>
      <c r="C34" s="73" t="s">
        <v>41</v>
      </c>
      <c r="D34" s="80" t="s">
        <v>42</v>
      </c>
      <c r="E34" s="21">
        <v>0.45</v>
      </c>
      <c r="F34" s="62">
        <v>40.799999999999997</v>
      </c>
      <c r="G34" s="37">
        <f t="shared" si="0"/>
        <v>87.35687999999999</v>
      </c>
      <c r="H34" s="45">
        <v>6.62</v>
      </c>
      <c r="I34" s="37">
        <f t="shared" si="1"/>
        <v>18.903277599999999</v>
      </c>
      <c r="J34" s="36" t="s">
        <v>62</v>
      </c>
      <c r="K34" s="40" t="s">
        <v>25</v>
      </c>
      <c r="L34" s="44">
        <v>0.67</v>
      </c>
      <c r="M34" s="37">
        <f t="shared" si="4"/>
        <v>0.30150000000000005</v>
      </c>
      <c r="N34" s="45">
        <v>516.51</v>
      </c>
      <c r="O34" s="37">
        <f>N34*L34</f>
        <v>346.06170000000003</v>
      </c>
      <c r="P34" s="37">
        <f t="shared" si="3"/>
        <v>155.72776500000001</v>
      </c>
    </row>
    <row r="35" spans="1:16">
      <c r="A35" s="85"/>
      <c r="B35" s="26"/>
      <c r="C35" s="73"/>
      <c r="D35" s="80"/>
      <c r="E35" s="21"/>
      <c r="F35" s="82"/>
      <c r="G35" s="37"/>
      <c r="H35" s="45"/>
      <c r="I35" s="37"/>
      <c r="J35" s="36" t="s">
        <v>63</v>
      </c>
      <c r="K35" s="40" t="s">
        <v>55</v>
      </c>
      <c r="L35" s="44">
        <v>12.8</v>
      </c>
      <c r="M35" s="37">
        <f>+L35*E34</f>
        <v>5.7600000000000007</v>
      </c>
      <c r="N35" s="45">
        <v>0.38</v>
      </c>
      <c r="O35" s="37">
        <f>N35*L35*1.132047</f>
        <v>5.5062766080000012</v>
      </c>
      <c r="P35" s="37">
        <f>E34*O35</f>
        <v>2.4778244736000006</v>
      </c>
    </row>
    <row r="36" spans="1:16">
      <c r="A36" s="85"/>
      <c r="B36" s="26"/>
      <c r="C36" s="73"/>
      <c r="D36" s="79"/>
      <c r="E36" s="21"/>
      <c r="F36" s="82"/>
      <c r="G36" s="37"/>
      <c r="H36" s="45"/>
      <c r="I36" s="37"/>
      <c r="J36" s="36" t="s">
        <v>64</v>
      </c>
      <c r="K36" s="40" t="s">
        <v>55</v>
      </c>
      <c r="L36" s="44">
        <v>12.8</v>
      </c>
      <c r="M36" s="37">
        <f>+L36*E34</f>
        <v>5.7600000000000007</v>
      </c>
      <c r="N36" s="45">
        <v>0.4</v>
      </c>
      <c r="O36" s="37">
        <f>N36*L36*1.132047</f>
        <v>5.7960806400000013</v>
      </c>
      <c r="P36" s="37">
        <f>O36*E34</f>
        <v>2.6082362880000005</v>
      </c>
    </row>
    <row r="37" spans="1:16">
      <c r="A37" s="85"/>
      <c r="B37" s="26"/>
      <c r="C37" s="73"/>
      <c r="D37" s="79"/>
      <c r="E37" s="21"/>
      <c r="F37" s="82"/>
      <c r="G37" s="37"/>
      <c r="H37" s="45"/>
      <c r="I37" s="37"/>
      <c r="J37" s="36" t="s">
        <v>65</v>
      </c>
      <c r="K37" s="40" t="s">
        <v>55</v>
      </c>
      <c r="L37" s="44">
        <v>4.0599999999999996</v>
      </c>
      <c r="M37" s="37">
        <f>+L37*E34</f>
        <v>1.827</v>
      </c>
      <c r="N37" s="45">
        <v>0.4</v>
      </c>
      <c r="O37" s="37">
        <f>N37*L37*1.132047</f>
        <v>1.838444328</v>
      </c>
      <c r="P37" s="37">
        <f>O37*E34</f>
        <v>0.82729994760000003</v>
      </c>
    </row>
    <row r="38" spans="1:16">
      <c r="A38" s="85"/>
      <c r="B38" s="23"/>
      <c r="C38" s="73"/>
      <c r="D38" s="79"/>
      <c r="E38" s="21"/>
      <c r="F38" s="82"/>
      <c r="G38" s="37"/>
      <c r="H38" s="45"/>
      <c r="I38" s="37"/>
      <c r="J38" s="36" t="s">
        <v>66</v>
      </c>
      <c r="K38" s="40" t="s">
        <v>39</v>
      </c>
      <c r="L38" s="44">
        <v>4.45</v>
      </c>
      <c r="M38" s="37">
        <f>+L38*E34</f>
        <v>2.0024999999999999</v>
      </c>
      <c r="N38" s="45">
        <v>141.667</v>
      </c>
      <c r="O38" s="37">
        <f>N38*L38*1.132047</f>
        <v>713.66297545305008</v>
      </c>
      <c r="P38" s="37">
        <f>O38*E34</f>
        <v>321.14833895387255</v>
      </c>
    </row>
    <row r="39" spans="1:16">
      <c r="A39" s="85"/>
      <c r="B39" s="23"/>
      <c r="C39" s="73"/>
      <c r="D39" s="79"/>
      <c r="E39" s="21"/>
      <c r="F39" s="82"/>
      <c r="G39" s="37"/>
      <c r="H39" s="45"/>
      <c r="I39" s="37"/>
      <c r="J39" s="49"/>
      <c r="K39" s="40"/>
      <c r="L39" s="44"/>
      <c r="M39" s="37"/>
      <c r="N39" s="45"/>
      <c r="O39" s="37"/>
      <c r="P39" s="37"/>
    </row>
    <row r="40" spans="1:16" ht="38.25">
      <c r="A40" s="85">
        <v>11</v>
      </c>
      <c r="B40" s="23" t="s">
        <v>43</v>
      </c>
      <c r="C40" s="73" t="s">
        <v>44</v>
      </c>
      <c r="D40" s="80" t="s">
        <v>152</v>
      </c>
      <c r="E40" s="21">
        <v>0.45</v>
      </c>
      <c r="F40" s="63">
        <v>8.66</v>
      </c>
      <c r="G40" s="37">
        <f t="shared" si="0"/>
        <v>18.541926</v>
      </c>
      <c r="H40" s="45">
        <v>0.05</v>
      </c>
      <c r="I40" s="37">
        <f t="shared" si="1"/>
        <v>0.14277400000000001</v>
      </c>
      <c r="J40" s="36" t="s">
        <v>62</v>
      </c>
      <c r="K40" s="40" t="s">
        <v>25</v>
      </c>
      <c r="L40" s="44">
        <v>0.02</v>
      </c>
      <c r="M40" s="37">
        <f t="shared" si="4"/>
        <v>9.0000000000000011E-3</v>
      </c>
      <c r="N40" s="45">
        <v>516.51</v>
      </c>
      <c r="O40" s="37">
        <f t="shared" si="2"/>
        <v>30.378971919399998</v>
      </c>
      <c r="P40" s="37">
        <f t="shared" si="3"/>
        <v>13.670537363729999</v>
      </c>
    </row>
    <row r="41" spans="1:16">
      <c r="A41" s="85"/>
      <c r="B41" s="26"/>
      <c r="C41" s="73"/>
      <c r="D41" s="80"/>
      <c r="E41" s="21"/>
      <c r="F41" s="82"/>
      <c r="G41" s="37"/>
      <c r="H41" s="45"/>
      <c r="I41" s="37"/>
      <c r="J41" s="36" t="s">
        <v>56</v>
      </c>
      <c r="K41" s="40" t="s">
        <v>55</v>
      </c>
      <c r="L41" s="44">
        <v>11.2</v>
      </c>
      <c r="M41" s="37">
        <f>+L41*E40</f>
        <v>5.04</v>
      </c>
      <c r="N41" s="45">
        <v>0.4</v>
      </c>
      <c r="O41" s="37">
        <f>N41*L41*1.132</f>
        <v>5.0713599999999994</v>
      </c>
      <c r="P41" s="37">
        <f>O41*E40</f>
        <v>2.2821119999999997</v>
      </c>
    </row>
    <row r="42" spans="1:16">
      <c r="A42" s="85"/>
      <c r="B42" s="22"/>
      <c r="C42" s="17"/>
      <c r="D42" s="75"/>
      <c r="E42" s="20"/>
      <c r="F42" s="82"/>
      <c r="G42" s="37"/>
      <c r="H42" s="43"/>
      <c r="I42" s="37"/>
      <c r="J42" s="83"/>
      <c r="K42" s="42"/>
      <c r="L42" s="53"/>
      <c r="M42" s="37"/>
      <c r="N42" s="45"/>
      <c r="O42" s="37"/>
      <c r="P42" s="37"/>
    </row>
    <row r="43" spans="1:16">
      <c r="A43" s="85"/>
      <c r="B43" s="22"/>
      <c r="C43" s="17"/>
      <c r="D43" s="76"/>
      <c r="E43" s="20"/>
      <c r="F43" s="82"/>
      <c r="G43" s="37"/>
      <c r="H43" s="43"/>
      <c r="I43" s="37"/>
      <c r="J43" s="29" t="s">
        <v>67</v>
      </c>
      <c r="K43" s="42" t="s">
        <v>18</v>
      </c>
      <c r="L43" s="53">
        <v>1</v>
      </c>
      <c r="M43" s="37">
        <v>26</v>
      </c>
      <c r="N43" s="45">
        <v>1.333</v>
      </c>
      <c r="O43" s="37">
        <f>N43*L43*1.132</f>
        <v>1.5089559999999997</v>
      </c>
      <c r="P43" s="37">
        <f>O43*M43</f>
        <v>39.232855999999991</v>
      </c>
    </row>
    <row r="44" spans="1:16" ht="24">
      <c r="A44" s="85"/>
      <c r="B44" s="22"/>
      <c r="C44" s="17"/>
      <c r="D44" s="76"/>
      <c r="E44" s="20"/>
      <c r="F44" s="82"/>
      <c r="G44" s="37"/>
      <c r="H44" s="43"/>
      <c r="I44" s="37"/>
      <c r="J44" s="29" t="s">
        <v>68</v>
      </c>
      <c r="K44" s="42" t="s">
        <v>29</v>
      </c>
      <c r="L44" s="53">
        <v>2</v>
      </c>
      <c r="M44" s="37">
        <v>2</v>
      </c>
      <c r="N44" s="45">
        <v>1.958</v>
      </c>
      <c r="O44" s="37">
        <f>N44*L44</f>
        <v>3.9159999999999999</v>
      </c>
      <c r="P44" s="37">
        <f>O44*1.132047</f>
        <v>4.4330960519999998</v>
      </c>
    </row>
    <row r="45" spans="1:16" ht="24">
      <c r="A45" s="85"/>
      <c r="B45" s="19"/>
      <c r="C45" s="17"/>
      <c r="D45" s="76"/>
      <c r="E45" s="20"/>
      <c r="F45" s="82"/>
      <c r="G45" s="37"/>
      <c r="H45" s="43"/>
      <c r="I45" s="37"/>
      <c r="J45" s="29" t="s">
        <v>69</v>
      </c>
      <c r="K45" s="42" t="s">
        <v>29</v>
      </c>
      <c r="L45" s="53">
        <v>4</v>
      </c>
      <c r="M45" s="37">
        <v>4</v>
      </c>
      <c r="N45" s="45">
        <v>1.1200000000000001</v>
      </c>
      <c r="O45" s="37">
        <f>+(L45*N45)*1.132047</f>
        <v>5.0715705600000005</v>
      </c>
      <c r="P45" s="37">
        <v>5.0720000000000001</v>
      </c>
    </row>
    <row r="46" spans="1:16">
      <c r="A46" s="85"/>
      <c r="B46" s="19"/>
      <c r="C46" s="17"/>
      <c r="D46" s="76"/>
      <c r="E46" s="20"/>
      <c r="F46" s="82"/>
      <c r="G46" s="37"/>
      <c r="H46" s="43"/>
      <c r="I46" s="37"/>
      <c r="J46" s="83"/>
      <c r="K46" s="42"/>
      <c r="L46" s="53"/>
      <c r="M46" s="37"/>
      <c r="N46" s="45"/>
      <c r="O46" s="37"/>
      <c r="P46" s="37"/>
    </row>
    <row r="47" spans="1:16" ht="38.25">
      <c r="A47" s="85">
        <v>12</v>
      </c>
      <c r="B47" s="23" t="s">
        <v>45</v>
      </c>
      <c r="C47" s="73" t="s">
        <v>46</v>
      </c>
      <c r="D47" s="80" t="s">
        <v>152</v>
      </c>
      <c r="E47" s="21">
        <v>2.04</v>
      </c>
      <c r="F47" s="64">
        <v>1.62</v>
      </c>
      <c r="G47" s="37">
        <f t="shared" si="0"/>
        <v>3.4685820000000001</v>
      </c>
      <c r="H47" s="45">
        <v>0.41</v>
      </c>
      <c r="I47" s="37">
        <f t="shared" si="1"/>
        <v>1.1707467999999999</v>
      </c>
      <c r="J47" s="36" t="s">
        <v>70</v>
      </c>
      <c r="K47" s="40" t="s">
        <v>55</v>
      </c>
      <c r="L47" s="44">
        <v>32.4</v>
      </c>
      <c r="M47" s="37">
        <f t="shared" si="4"/>
        <v>66.096000000000004</v>
      </c>
      <c r="N47" s="45">
        <v>2.46</v>
      </c>
      <c r="O47" s="37">
        <f t="shared" si="2"/>
        <v>94.868002887999992</v>
      </c>
      <c r="P47" s="37">
        <f t="shared" si="3"/>
        <v>193.53072589151998</v>
      </c>
    </row>
    <row r="48" spans="1:16">
      <c r="A48" s="85"/>
      <c r="B48" s="23"/>
      <c r="C48" s="73"/>
      <c r="D48" s="79"/>
      <c r="E48" s="21"/>
      <c r="F48" s="82"/>
      <c r="G48" s="37"/>
      <c r="H48" s="45"/>
      <c r="I48" s="37"/>
      <c r="J48" s="38"/>
      <c r="K48" s="48"/>
      <c r="L48" s="55"/>
      <c r="M48" s="37"/>
      <c r="N48" s="45" t="s">
        <v>71</v>
      </c>
      <c r="O48" s="37"/>
      <c r="P48" s="37"/>
    </row>
    <row r="49" spans="1:16" ht="24">
      <c r="A49" s="85">
        <v>13</v>
      </c>
      <c r="B49" s="23" t="s">
        <v>47</v>
      </c>
      <c r="C49" s="73" t="s">
        <v>48</v>
      </c>
      <c r="D49" s="79" t="s">
        <v>153</v>
      </c>
      <c r="E49" s="20">
        <v>2.48</v>
      </c>
      <c r="F49" s="66">
        <v>0.46</v>
      </c>
      <c r="G49" s="37">
        <f t="shared" si="0"/>
        <v>0.98490599999999995</v>
      </c>
      <c r="H49" s="45">
        <v>0.13</v>
      </c>
      <c r="I49" s="37">
        <f t="shared" si="1"/>
        <v>0.3712124</v>
      </c>
      <c r="J49" s="36" t="s">
        <v>70</v>
      </c>
      <c r="K49" s="40" t="s">
        <v>55</v>
      </c>
      <c r="L49" s="44">
        <v>10</v>
      </c>
      <c r="M49" s="37">
        <f t="shared" si="4"/>
        <v>24.8</v>
      </c>
      <c r="N49" s="45">
        <v>2.46</v>
      </c>
      <c r="O49" s="37">
        <f t="shared" si="2"/>
        <v>29.204474600000001</v>
      </c>
      <c r="P49" s="37">
        <f t="shared" si="3"/>
        <v>72.427097008000004</v>
      </c>
    </row>
    <row r="50" spans="1:16">
      <c r="A50" s="85"/>
      <c r="B50" s="82"/>
      <c r="C50" s="74"/>
      <c r="D50" s="82"/>
      <c r="E50" s="82"/>
      <c r="F50" s="82"/>
      <c r="G50" s="37"/>
      <c r="H50" s="45"/>
      <c r="I50" s="37"/>
      <c r="J50" s="36"/>
      <c r="K50" s="40"/>
      <c r="L50" s="44"/>
      <c r="M50" s="37"/>
      <c r="N50" s="45"/>
      <c r="O50" s="37"/>
      <c r="P50" s="45"/>
    </row>
    <row r="51" spans="1:16">
      <c r="A51" s="85"/>
      <c r="B51" s="82"/>
      <c r="C51" s="74"/>
      <c r="D51" s="82"/>
      <c r="E51" s="82"/>
      <c r="F51" s="82"/>
      <c r="G51" s="37"/>
      <c r="H51" s="82"/>
      <c r="I51" s="37"/>
      <c r="J51" s="86" t="s">
        <v>75</v>
      </c>
      <c r="K51" s="82"/>
      <c r="L51" s="82"/>
      <c r="M51" s="37"/>
      <c r="N51" s="45"/>
      <c r="O51" s="37"/>
      <c r="P51" s="87">
        <f>P49+P47+P45+P44+P43+P41+P40++P38+P37+P36+P35+P34+P32+P31++P30+P29+P28+P26+P25+P24++P23+P22+P21+P19+P18+P17+P15+P13+P11+P9</f>
        <v>3417.8000329221154</v>
      </c>
    </row>
    <row r="52" spans="1:16">
      <c r="A52" s="85"/>
      <c r="B52" s="82"/>
      <c r="C52" s="74"/>
      <c r="D52" s="82"/>
      <c r="E52" s="82"/>
      <c r="F52" s="82"/>
      <c r="G52" s="37"/>
      <c r="H52" s="82"/>
      <c r="I52" s="37"/>
      <c r="J52" s="82"/>
      <c r="K52" s="82"/>
      <c r="L52" s="82"/>
      <c r="M52" s="37"/>
      <c r="N52" s="45"/>
      <c r="O52" s="37"/>
      <c r="P52" s="88"/>
    </row>
    <row r="53" spans="1:16">
      <c r="A53" s="85"/>
      <c r="B53" s="82"/>
      <c r="C53" s="74"/>
      <c r="D53" s="82"/>
      <c r="E53" s="82"/>
      <c r="F53" s="82"/>
      <c r="G53" s="37"/>
      <c r="H53" s="82"/>
      <c r="I53" s="37"/>
      <c r="J53" s="82" t="s">
        <v>76</v>
      </c>
      <c r="K53" s="82"/>
      <c r="L53" s="82"/>
      <c r="M53" s="37"/>
      <c r="N53" s="45"/>
      <c r="O53" s="37"/>
      <c r="P53" s="88">
        <f>P51*13.3/100</f>
        <v>454.56740437864136</v>
      </c>
    </row>
    <row r="54" spans="1:16">
      <c r="A54" s="85"/>
      <c r="B54" s="82"/>
      <c r="C54" s="74"/>
      <c r="D54" s="82"/>
      <c r="E54" s="82"/>
      <c r="F54" s="82"/>
      <c r="G54" s="37"/>
      <c r="H54" s="82"/>
      <c r="I54" s="37"/>
      <c r="J54" s="82"/>
      <c r="K54" s="82"/>
      <c r="L54" s="82"/>
      <c r="M54" s="37"/>
      <c r="N54" s="45"/>
      <c r="O54" s="37"/>
      <c r="P54" s="88"/>
    </row>
    <row r="55" spans="1:16">
      <c r="A55" s="85"/>
      <c r="B55" s="82"/>
      <c r="C55" s="74"/>
      <c r="D55" s="82"/>
      <c r="E55" s="82"/>
      <c r="F55" s="82"/>
      <c r="G55" s="37"/>
      <c r="H55" s="82"/>
      <c r="I55" s="37"/>
      <c r="J55" s="82" t="s">
        <v>75</v>
      </c>
      <c r="K55" s="82"/>
      <c r="L55" s="82"/>
      <c r="M55" s="37"/>
      <c r="N55" s="45"/>
      <c r="O55" s="37"/>
      <c r="P55" s="87">
        <f>P53+P51</f>
        <v>3872.3674373007566</v>
      </c>
    </row>
    <row r="56" spans="1:16">
      <c r="A56" s="85"/>
      <c r="B56" s="82"/>
      <c r="C56" s="74"/>
      <c r="D56" s="82"/>
      <c r="E56" s="82"/>
      <c r="F56" s="82"/>
      <c r="G56" s="37"/>
      <c r="H56" s="82"/>
      <c r="I56" s="37"/>
      <c r="J56" s="82"/>
      <c r="K56" s="82"/>
      <c r="L56" s="82"/>
      <c r="M56" s="37"/>
      <c r="N56" s="45"/>
      <c r="O56" s="37"/>
      <c r="P56" s="88"/>
    </row>
    <row r="57" spans="1:16">
      <c r="A57" s="85"/>
      <c r="B57" s="82"/>
      <c r="C57" s="74"/>
      <c r="D57" s="82"/>
      <c r="E57" s="82"/>
      <c r="F57" s="82"/>
      <c r="G57" s="37"/>
      <c r="H57" s="82"/>
      <c r="I57" s="37"/>
      <c r="J57" s="82" t="s">
        <v>126</v>
      </c>
      <c r="K57" s="89">
        <v>0.11</v>
      </c>
      <c r="L57" s="82"/>
      <c r="M57" s="37"/>
      <c r="N57" s="45"/>
      <c r="O57" s="37"/>
      <c r="P57" s="88">
        <f>P55*11/100</f>
        <v>425.96041810308321</v>
      </c>
    </row>
    <row r="58" spans="1:16">
      <c r="A58" s="85"/>
      <c r="B58" s="82"/>
      <c r="C58" s="74"/>
      <c r="D58" s="82"/>
      <c r="E58" s="82"/>
      <c r="F58" s="82"/>
      <c r="G58" s="37"/>
      <c r="H58" s="82"/>
      <c r="I58" s="37"/>
      <c r="J58" s="82"/>
      <c r="K58" s="82"/>
      <c r="L58" s="82"/>
      <c r="M58" s="37"/>
      <c r="N58" s="45"/>
      <c r="O58" s="37"/>
      <c r="P58" s="88"/>
    </row>
    <row r="59" spans="1:16">
      <c r="A59" s="85"/>
      <c r="B59" s="82"/>
      <c r="C59" s="74"/>
      <c r="D59" s="82"/>
      <c r="E59" s="82"/>
      <c r="F59" s="82"/>
      <c r="G59" s="37"/>
      <c r="H59" s="82"/>
      <c r="I59" s="37"/>
      <c r="J59" s="82"/>
      <c r="K59" s="82"/>
      <c r="L59" s="82"/>
      <c r="M59" s="37"/>
      <c r="N59" s="45"/>
      <c r="O59" s="37"/>
      <c r="P59" s="88"/>
    </row>
  </sheetData>
  <mergeCells count="15">
    <mergeCell ref="A5:A6"/>
    <mergeCell ref="B5:B6"/>
    <mergeCell ref="C5:C6"/>
    <mergeCell ref="D5:D6"/>
    <mergeCell ref="E5:E6"/>
    <mergeCell ref="A1:P1"/>
    <mergeCell ref="F2:J2"/>
    <mergeCell ref="J4:L4"/>
    <mergeCell ref="M4:N4"/>
    <mergeCell ref="O4:P4"/>
    <mergeCell ref="F5:G5"/>
    <mergeCell ref="H5:I5"/>
    <mergeCell ref="J5:J6"/>
    <mergeCell ref="K5:K6"/>
    <mergeCell ref="L5:P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2018-04-10T06:56:42Z</cp:lastPrinted>
  <dcterms:created xsi:type="dcterms:W3CDTF">2017-03-06T11:56:46Z</dcterms:created>
  <dcterms:modified xsi:type="dcterms:W3CDTF">2018-05-17T11:03:39Z</dcterms:modified>
</cp:coreProperties>
</file>